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codeName="ThisWorkbook" autoCompressPictures="0"/>
  <mc:AlternateContent xmlns:mc="http://schemas.openxmlformats.org/markup-compatibility/2006">
    <mc:Choice Requires="x15">
      <x15ac:absPath xmlns:x15ac="http://schemas.microsoft.com/office/spreadsheetml/2010/11/ac" url="C:\Users\mjanjic\Downloads\"/>
    </mc:Choice>
  </mc:AlternateContent>
  <xr:revisionPtr revIDLastSave="0" documentId="8_{7CE095F4-BEFA-46F4-B02A-32141B737C70}"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08" yWindow="-108" windowWidth="23256" windowHeight="1245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20" i="5" s="1"/>
  <c r="C4"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36" i="5"/>
  <c r="E36" i="5"/>
  <c r="X36" i="5" s="1"/>
  <c r="V37" i="5"/>
  <c r="E37" i="5"/>
  <c r="X37" i="5" s="1"/>
  <c r="V38" i="5"/>
  <c r="E38" i="5"/>
  <c r="X38" i="5" s="1"/>
  <c r="V39" i="5"/>
  <c r="E39" i="5"/>
  <c r="X39" i="5" s="1"/>
  <c r="V40" i="5"/>
  <c r="E40" i="5"/>
  <c r="X40" i="5" s="1"/>
  <c r="V41" i="5"/>
  <c r="E41" i="5"/>
  <c r="X41" i="5" s="1"/>
  <c r="V42" i="5"/>
  <c r="E42" i="5"/>
  <c r="X42" i="5" s="1"/>
  <c r="V43" i="5"/>
  <c r="E43" i="5"/>
  <c r="X43" i="5" s="1"/>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V92" i="5"/>
  <c r="E92" i="5"/>
  <c r="V93" i="5"/>
  <c r="E93" i="5"/>
  <c r="X93" i="5" s="1"/>
  <c r="V94" i="5"/>
  <c r="E94" i="5"/>
  <c r="X94" i="5" s="1"/>
  <c r="V95" i="5"/>
  <c r="E95" i="5"/>
  <c r="X95" i="5" s="1"/>
  <c r="V96" i="5"/>
  <c r="E96" i="5"/>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V277" i="5"/>
  <c r="E277" i="5"/>
  <c r="X277" i="5" s="1"/>
  <c r="V278" i="5"/>
  <c r="E278" i="5"/>
  <c r="X278" i="5" s="1"/>
  <c r="V279" i="5"/>
  <c r="E279" i="5"/>
  <c r="X279" i="5" s="1"/>
  <c r="V280" i="5"/>
  <c r="E280" i="5"/>
  <c r="X280" i="5" s="1"/>
  <c r="V281" i="5"/>
  <c r="E281" i="5"/>
  <c r="X281" i="5" s="1"/>
  <c r="V282" i="5"/>
  <c r="E282" i="5"/>
  <c r="X282" i="5" s="1"/>
  <c r="V283" i="5"/>
  <c r="E283" i="5"/>
  <c r="X283" i="5" s="1"/>
  <c r="V284" i="5"/>
  <c r="E284" i="5"/>
  <c r="V285" i="5"/>
  <c r="E285" i="5"/>
  <c r="X285" i="5" s="1"/>
  <c r="V286" i="5"/>
  <c r="E286" i="5"/>
  <c r="X286" i="5" s="1"/>
  <c r="V287" i="5"/>
  <c r="E287" i="5"/>
  <c r="X287" i="5" s="1"/>
  <c r="V288" i="5"/>
  <c r="E288" i="5"/>
  <c r="V289" i="5"/>
  <c r="E289" i="5"/>
  <c r="X289" i="5" s="1"/>
  <c r="V290" i="5"/>
  <c r="E290" i="5"/>
  <c r="X290" i="5" s="1"/>
  <c r="V291" i="5"/>
  <c r="E291" i="5"/>
  <c r="X291" i="5" s="1"/>
  <c r="V292" i="5"/>
  <c r="E292" i="5"/>
  <c r="X292" i="5" s="1"/>
  <c r="V293" i="5"/>
  <c r="E293" i="5"/>
  <c r="X293" i="5" s="1"/>
  <c r="V294" i="5"/>
  <c r="E294" i="5"/>
  <c r="X294" i="5" s="1"/>
  <c r="V295" i="5"/>
  <c r="E295" i="5"/>
  <c r="X295" i="5" s="1"/>
  <c r="V296" i="5"/>
  <c r="E296" i="5"/>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V340" i="5"/>
  <c r="E340" i="5"/>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V961" i="5"/>
  <c r="E961" i="5"/>
  <c r="X961" i="5" s="1"/>
  <c r="V962" i="5"/>
  <c r="E962" i="5"/>
  <c r="X962" i="5" s="1"/>
  <c r="V963" i="5"/>
  <c r="E963" i="5"/>
  <c r="X963" i="5" s="1"/>
  <c r="V964" i="5"/>
  <c r="E964" i="5"/>
  <c r="X964" i="5" s="1"/>
  <c r="V965" i="5"/>
  <c r="E965" i="5"/>
  <c r="X965" i="5" s="1"/>
  <c r="V966" i="5"/>
  <c r="E966" i="5"/>
  <c r="X966" i="5" s="1"/>
  <c r="V967" i="5"/>
  <c r="E967" i="5"/>
  <c r="X967" i="5" s="1"/>
  <c r="V968" i="5"/>
  <c r="E968" i="5"/>
  <c r="V969" i="5"/>
  <c r="E969" i="5"/>
  <c r="X969" i="5" s="1"/>
  <c r="V970" i="5"/>
  <c r="E970" i="5"/>
  <c r="X970" i="5" s="1"/>
  <c r="V971" i="5"/>
  <c r="E971" i="5"/>
  <c r="X971" i="5" s="1"/>
  <c r="V972" i="5"/>
  <c r="E972" i="5"/>
  <c r="X972" i="5" s="1"/>
  <c r="V973" i="5"/>
  <c r="E973" i="5"/>
  <c r="X973" i="5" s="1"/>
  <c r="V974" i="5"/>
  <c r="E974" i="5"/>
  <c r="X974" i="5" s="1"/>
  <c r="V975" i="5"/>
  <c r="E975" i="5"/>
  <c r="X975" i="5" s="1"/>
  <c r="V976" i="5"/>
  <c r="E976" i="5"/>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s="1"/>
  <c r="B58" i="6"/>
  <c r="G58" i="6"/>
  <c r="B57" i="6"/>
  <c r="G57" i="6"/>
  <c r="B56" i="6"/>
  <c r="G56" i="6"/>
  <c r="B55" i="6"/>
  <c r="G55" i="6" s="1"/>
  <c r="B54" i="6"/>
  <c r="G54" i="6"/>
  <c r="B17" i="6"/>
  <c r="F22" i="6" s="1"/>
  <c r="B16" i="6"/>
  <c r="B15" i="6"/>
  <c r="G15" i="6" s="1"/>
  <c r="H15" i="6" s="1"/>
  <c r="B14" i="6"/>
  <c r="G14" i="6" s="1"/>
  <c r="H14" i="6" s="1"/>
  <c r="H13" i="6"/>
  <c r="B12" i="6"/>
  <c r="G12" i="6" s="1"/>
  <c r="H12" i="6" s="1"/>
  <c r="D12" i="6" s="1"/>
  <c r="B11" i="6"/>
  <c r="G11" i="6" s="1"/>
  <c r="H11" i="6" s="1"/>
  <c r="D11" i="6" s="1"/>
  <c r="G10" i="6"/>
  <c r="H10" i="6" s="1"/>
  <c r="D10" i="6" s="1"/>
  <c r="G9" i="6"/>
  <c r="H9" i="6"/>
  <c r="D9" i="6" s="1"/>
  <c r="B8" i="6"/>
  <c r="G8" i="6" s="1"/>
  <c r="H8" i="6" s="1"/>
  <c r="B7" i="6"/>
  <c r="G7" i="6"/>
  <c r="H7" i="6"/>
  <c r="D7" i="6"/>
  <c r="B6" i="6"/>
  <c r="G6" i="6"/>
  <c r="B5" i="6"/>
  <c r="F6" i="6"/>
  <c r="H6" i="6" s="1"/>
  <c r="D6"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B90" i="4"/>
  <c r="H67" i="4"/>
  <c r="P47" i="4"/>
  <c r="B47" i="4" s="1"/>
  <c r="A32" i="6" s="1"/>
  <c r="P46" i="4"/>
  <c r="B46" i="4" s="1"/>
  <c r="A31" i="6" s="1"/>
  <c r="P45" i="4"/>
  <c r="P44" i="4"/>
  <c r="P43" i="4"/>
  <c r="Q43" i="4" s="1"/>
  <c r="P41" i="4"/>
  <c r="B41" i="4" s="1"/>
  <c r="B65" i="4" s="1"/>
  <c r="A47" i="6" s="1"/>
  <c r="P40" i="4"/>
  <c r="P39" i="4"/>
  <c r="B39" i="4" s="1"/>
  <c r="A25" i="6" s="1"/>
  <c r="P38" i="4"/>
  <c r="P37" i="4"/>
  <c r="Q37" i="4" s="1"/>
  <c r="P35" i="4"/>
  <c r="P34" i="4"/>
  <c r="P33" i="4"/>
  <c r="P32" i="4"/>
  <c r="P31" i="4"/>
  <c r="Q31" i="4" s="1"/>
  <c r="P29" i="4"/>
  <c r="B29" i="4" s="1"/>
  <c r="A17" i="6" s="1"/>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83" i="5"/>
  <c r="R83" i="5"/>
  <c r="J83" i="5"/>
  <c r="I83" i="5"/>
  <c r="F83" i="5"/>
  <c r="H51" i="5"/>
  <c r="R51" i="5"/>
  <c r="J51" i="5"/>
  <c r="I51" i="5"/>
  <c r="F51" i="5"/>
  <c r="R77" i="5"/>
  <c r="I77" i="5"/>
  <c r="R89" i="5"/>
  <c r="I89" i="5"/>
  <c r="F129" i="5"/>
  <c r="H199" i="5"/>
  <c r="R199" i="5"/>
  <c r="J199" i="5"/>
  <c r="I199" i="5"/>
  <c r="F199" i="5"/>
  <c r="H131" i="5"/>
  <c r="F131" i="5"/>
  <c r="I131" i="5"/>
  <c r="R131" i="5"/>
  <c r="J131" i="5"/>
  <c r="R57" i="5"/>
  <c r="I57" i="5"/>
  <c r="F105" i="5"/>
  <c r="R105" i="5"/>
  <c r="H119" i="5"/>
  <c r="F119" i="5"/>
  <c r="I119" i="5"/>
  <c r="R119" i="5"/>
  <c r="J119" i="5"/>
  <c r="R197" i="5"/>
  <c r="F197" i="5"/>
  <c r="H223" i="5"/>
  <c r="R223" i="5"/>
  <c r="J223" i="5"/>
  <c r="F223" i="5"/>
  <c r="I223" i="5"/>
  <c r="R229" i="5"/>
  <c r="F229" i="5"/>
  <c r="R337" i="5"/>
  <c r="J337" i="5"/>
  <c r="H337" i="5"/>
  <c r="F337" i="5"/>
  <c r="F113" i="5"/>
  <c r="R113" i="5"/>
  <c r="H155" i="5"/>
  <c r="R155" i="5"/>
  <c r="J155" i="5"/>
  <c r="I155" i="5"/>
  <c r="F155" i="5"/>
  <c r="H203" i="5"/>
  <c r="R203" i="5"/>
  <c r="J203" i="5"/>
  <c r="I203" i="5"/>
  <c r="F203" i="5"/>
  <c r="R249" i="5"/>
  <c r="F24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I46"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50" i="5"/>
  <c r="I66" i="5"/>
  <c r="I82"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H114" i="5"/>
  <c r="F118" i="5"/>
  <c r="R118" i="5"/>
  <c r="J118"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09" i="5"/>
  <c r="J121" i="5"/>
  <c r="I121" i="5"/>
  <c r="H121" i="5"/>
  <c r="AB141" i="5"/>
  <c r="H146" i="5"/>
  <c r="F150" i="5"/>
  <c r="R150" i="5"/>
  <c r="J150"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442" i="5"/>
  <c r="J2442" i="5"/>
  <c r="I2442" i="5"/>
  <c r="H2442" i="5"/>
  <c r="AB2460" i="5"/>
  <c r="F2497" i="5"/>
  <c r="R2497" i="5"/>
  <c r="J2497" i="5"/>
  <c r="I2497" i="5"/>
  <c r="H2497" i="5"/>
  <c r="S2501" i="5"/>
  <c r="F64" i="6"/>
  <c r="G5" i="6"/>
  <c r="H5" i="6"/>
  <c r="D5" i="6" s="1"/>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AB2443" i="5"/>
  <c r="S2443" i="5"/>
  <c r="S2450" i="5"/>
  <c r="S2452" i="5"/>
  <c r="J2461" i="5"/>
  <c r="J2469" i="5"/>
  <c r="S2495" i="5"/>
  <c r="S2499" i="5"/>
  <c r="S2503" i="5"/>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19" i="6"/>
  <c r="F24" i="6" s="1"/>
  <c r="A38" i="2"/>
  <c r="J4" i="5"/>
  <c r="A55" i="2"/>
  <c r="A73" i="2"/>
  <c r="B9" i="3"/>
  <c r="A3" i="2"/>
  <c r="A20" i="2"/>
  <c r="B17" i="3"/>
  <c r="B25" i="3"/>
  <c r="C20" i="3"/>
  <c r="A75" i="2"/>
  <c r="C25" i="3"/>
  <c r="N4" i="5"/>
  <c r="A43" i="2"/>
  <c r="C3" i="3"/>
  <c r="C19" i="3"/>
  <c r="P4" i="5"/>
  <c r="A45" i="2"/>
  <c r="C4" i="3"/>
  <c r="B26" i="4"/>
  <c r="B32" i="4" s="1"/>
  <c r="A19"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55" i="4" s="1"/>
  <c r="B44" i="4"/>
  <c r="A29" i="6" s="1"/>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479" i="5"/>
  <c r="S67" i="5"/>
  <c r="S143" i="5"/>
  <c r="S175" i="5"/>
  <c r="S57" i="5"/>
  <c r="S69" i="5"/>
  <c r="S89" i="5"/>
  <c r="S155" i="5"/>
  <c r="S49" i="5"/>
  <c r="S157" i="5"/>
  <c r="S364" i="5"/>
  <c r="S304" i="5"/>
  <c r="S392" i="5"/>
  <c r="S348" i="5"/>
  <c r="S433" i="5"/>
  <c r="S444" i="5"/>
  <c r="S584" i="5"/>
  <c r="S51" i="5"/>
  <c r="S59" i="5"/>
  <c r="S99" i="5"/>
  <c r="S81" i="5"/>
  <c r="S41" i="5"/>
  <c r="S235" i="5"/>
  <c r="S271" i="5"/>
  <c r="S291" i="5"/>
  <c r="S396" i="5"/>
  <c r="S400" i="5"/>
  <c r="S405" i="5"/>
  <c r="S413" i="5"/>
  <c r="S453" i="5"/>
  <c r="S420" i="5"/>
  <c r="S448" i="5"/>
  <c r="S210" i="5"/>
  <c r="S7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X456" i="5"/>
  <c r="S598" i="5"/>
  <c r="S532" i="5"/>
  <c r="S356" i="5"/>
  <c r="S343" i="5"/>
  <c r="S315" i="5"/>
  <c r="X96" i="5"/>
  <c r="X311" i="5"/>
  <c r="S357" i="5"/>
  <c r="S383" i="5"/>
  <c r="X92" i="5"/>
  <c r="X76"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X2092"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X644"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X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B39" i="6"/>
  <c r="G39" i="6"/>
  <c r="B44" i="6"/>
  <c r="G44" i="6" s="1"/>
  <c r="B49" i="6"/>
  <c r="G49" i="6"/>
  <c r="B34" i="6"/>
  <c r="G34" i="6"/>
  <c r="B24" i="6"/>
  <c r="G24" i="6" s="1"/>
  <c r="G19" i="6"/>
  <c r="H19" i="6"/>
  <c r="D19" i="6" s="1"/>
  <c r="F2426" i="5"/>
  <c r="R2426" i="5"/>
  <c r="J2426" i="5"/>
  <c r="I2426" i="5"/>
  <c r="H2426" i="5"/>
  <c r="F2446" i="5"/>
  <c r="H2446" i="5"/>
  <c r="J2446" i="5"/>
  <c r="I2446" i="5"/>
  <c r="R2446" i="5"/>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X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X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X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H2439" i="5"/>
  <c r="F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X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X868"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X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X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X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X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X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X1800" i="5"/>
  <c r="R1800" i="5"/>
  <c r="J1792" i="5"/>
  <c r="I1792" i="5"/>
  <c r="H1792" i="5"/>
  <c r="F1792" i="5"/>
  <c r="R1792" i="5"/>
  <c r="J1784" i="5"/>
  <c r="I1784" i="5"/>
  <c r="H1784" i="5"/>
  <c r="F1784" i="5"/>
  <c r="R1784" i="5"/>
  <c r="J1776" i="5"/>
  <c r="I1776" i="5"/>
  <c r="H1776" i="5"/>
  <c r="F1776" i="5"/>
  <c r="X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X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X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X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X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X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X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8" i="5"/>
  <c r="S109" i="5"/>
  <c r="S245" i="5"/>
  <c r="S80" i="5"/>
  <c r="S49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98" i="5"/>
  <c r="S134" i="5"/>
  <c r="S507"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122" i="5"/>
  <c r="S484" i="5"/>
  <c r="S79" i="5"/>
  <c r="S471" i="5"/>
  <c r="S298" i="5"/>
  <c r="S82" i="5"/>
  <c r="S78" i="5"/>
  <c r="S142" i="5"/>
  <c r="S515" i="5"/>
  <c r="S289" i="5"/>
  <c r="S46" i="5"/>
  <c r="S181" i="5"/>
  <c r="S54" i="5"/>
  <c r="S66" i="5"/>
  <c r="S90" i="5"/>
  <c r="S313" i="5"/>
  <c r="S76" i="5"/>
  <c r="S242" i="5"/>
  <c r="S307" i="5"/>
  <c r="S337" i="5"/>
  <c r="S101" i="5"/>
  <c r="S555" i="5"/>
  <c r="S570" i="5"/>
  <c r="S154" i="5"/>
  <c r="S70" i="5"/>
  <c r="S301" i="5"/>
  <c r="S63" i="5"/>
  <c r="S64" i="5"/>
  <c r="S246" i="5"/>
  <c r="S254" i="5"/>
  <c r="S60" i="5"/>
  <c r="S206" i="5"/>
  <c r="S325" i="5"/>
  <c r="S527" i="5"/>
  <c r="S369" i="5"/>
  <c r="S381" i="5"/>
  <c r="S52" i="5"/>
  <c r="S309" i="5"/>
  <c r="S597" i="5"/>
  <c r="S599" i="5"/>
  <c r="S611" i="5"/>
  <c r="S601" i="5"/>
  <c r="X340" i="5"/>
  <c r="X375" i="5"/>
  <c r="X296" i="5"/>
  <c r="X276" i="5"/>
  <c r="X596" i="5"/>
  <c r="X91" i="5"/>
  <c r="X524" i="5"/>
  <c r="X339" i="5"/>
  <c r="X366" i="5"/>
  <c r="X328" i="5"/>
  <c r="S600" i="5"/>
  <c r="X403" i="5"/>
  <c r="X168" i="5"/>
  <c r="S382" i="5"/>
  <c r="X288" i="5"/>
  <c r="S533" i="5"/>
  <c r="S355" i="5"/>
  <c r="S602" i="5"/>
  <c r="S603" i="5"/>
  <c r="X248" i="5"/>
  <c r="S605" i="5"/>
  <c r="S607" i="5"/>
  <c r="X132" i="5"/>
  <c r="X215" i="5"/>
  <c r="S314" i="5"/>
  <c r="X284" i="5"/>
  <c r="X608"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4" i="6" a="1"/>
  <c r="A14" i="6" l="1"/>
  <c r="B58" i="4"/>
  <c r="A41" i="6" s="1"/>
  <c r="G17" i="6"/>
  <c r="H17" i="6" s="1"/>
  <c r="C17" i="6" s="1"/>
  <c r="B22" i="6"/>
  <c r="F21" i="6"/>
  <c r="B21" i="6"/>
  <c r="B51" i="6" s="1"/>
  <c r="G51" i="6" s="1"/>
  <c r="G16" i="6"/>
  <c r="H16" i="6" s="1"/>
  <c r="D15" i="6"/>
  <c r="C15" i="6"/>
  <c r="B35" i="6"/>
  <c r="G35" i="6" s="1"/>
  <c r="F25" i="6"/>
  <c r="B20" i="6"/>
  <c r="F20" i="6"/>
  <c r="B50" i="6"/>
  <c r="G50" i="6" s="1"/>
  <c r="K65" i="6"/>
  <c r="D14" i="6"/>
  <c r="F65" i="6"/>
  <c r="H24" i="6"/>
  <c r="D24" i="6" s="1"/>
  <c r="F49" i="6"/>
  <c r="H49" i="6" s="1"/>
  <c r="D49" i="6" s="1"/>
  <c r="F44" i="6"/>
  <c r="H44" i="6" s="1"/>
  <c r="D44" i="6" s="1"/>
  <c r="F29" i="6"/>
  <c r="H29" i="6" s="1"/>
  <c r="D29" i="6" s="1"/>
  <c r="F39" i="6"/>
  <c r="H39" i="6" s="1"/>
  <c r="D39" i="6" s="1"/>
  <c r="F34" i="6"/>
  <c r="H34" i="6" s="1"/>
  <c r="D34" i="6" s="1"/>
  <c r="B83" i="4"/>
  <c r="A59" i="6" s="1"/>
  <c r="B79" i="4"/>
  <c r="A57" i="6" s="1"/>
  <c r="B85" i="4"/>
  <c r="A60" i="6" s="1"/>
  <c r="B31" i="4"/>
  <c r="A18" i="6" s="1"/>
  <c r="B87" i="4"/>
  <c r="A62" i="6" s="1"/>
  <c r="B75" i="4"/>
  <c r="A54" i="6" s="1"/>
  <c r="B81" i="4"/>
  <c r="A58" i="6" s="1"/>
  <c r="B49" i="4"/>
  <c r="A33" i="6" s="1"/>
  <c r="B55" i="4"/>
  <c r="A38" i="6" s="1"/>
  <c r="B77" i="4"/>
  <c r="A55" i="6" s="1"/>
  <c r="B67" i="4"/>
  <c r="A48" i="6" s="1"/>
  <c r="B43" i="4"/>
  <c r="A28" i="6" s="1"/>
  <c r="B61" i="4"/>
  <c r="A43" i="6" s="1"/>
  <c r="B89" i="4"/>
  <c r="A63" i="6" s="1"/>
  <c r="B37" i="4"/>
  <c r="A23" i="6" s="1"/>
  <c r="C24" i="6"/>
  <c r="C44" i="6"/>
  <c r="B29" i="6"/>
  <c r="G29" i="6" s="1"/>
  <c r="C49" i="6"/>
  <c r="C34" i="6"/>
  <c r="C19" i="6"/>
  <c r="C12" i="6"/>
  <c r="C14" i="6"/>
  <c r="D8" i="6"/>
  <c r="C8" i="6"/>
  <c r="B52" i="4"/>
  <c r="A36" i="6" s="1"/>
  <c r="B70" i="4"/>
  <c r="A51" i="6" s="1"/>
  <c r="C11" i="6"/>
  <c r="C9" i="6"/>
  <c r="A27" i="6"/>
  <c r="C10" i="6"/>
  <c r="B64" i="4"/>
  <c r="A46" i="6" s="1"/>
  <c r="C7" i="6"/>
  <c r="B34" i="4"/>
  <c r="A21" i="6" s="1"/>
  <c r="C5" i="6"/>
  <c r="B33" i="4"/>
  <c r="A20" i="6" s="1"/>
  <c r="D49" i="4"/>
  <c r="D43" i="4"/>
  <c r="B63" i="4"/>
  <c r="A45" i="6" s="1"/>
  <c r="B69" i="4"/>
  <c r="A50" i="6" s="1"/>
  <c r="G43" i="4"/>
  <c r="C6" i="6"/>
  <c r="C16" i="5"/>
  <c r="G49" i="4"/>
  <c r="G31" i="4"/>
  <c r="G74" i="4"/>
  <c r="C24" i="5"/>
  <c r="C15" i="5"/>
  <c r="G61" i="4"/>
  <c r="B35" i="4"/>
  <c r="A22" i="6" s="1"/>
  <c r="B68" i="4"/>
  <c r="A49" i="6" s="1"/>
  <c r="B50" i="4"/>
  <c r="A34" i="6" s="1"/>
  <c r="A24" i="6"/>
  <c r="C4" i="6"/>
  <c r="B16" i="5"/>
  <c r="D74" i="4"/>
  <c r="D37" i="4"/>
  <c r="D31" i="4"/>
  <c r="D67" i="4"/>
  <c r="D55" i="4"/>
  <c r="G67" i="4"/>
  <c r="B56" i="4"/>
  <c r="A39" i="6" s="1"/>
  <c r="G37" i="4"/>
  <c r="C23" i="5"/>
  <c r="B6" i="5"/>
  <c r="B10" i="5"/>
  <c r="B14" i="5"/>
  <c r="B18" i="5"/>
  <c r="B22" i="5"/>
  <c r="B26" i="5"/>
  <c r="C5" i="5"/>
  <c r="C7" i="5"/>
  <c r="C11" i="5"/>
  <c r="C19" i="5"/>
  <c r="C27" i="5"/>
  <c r="C12" i="5"/>
  <c r="C20" i="5"/>
  <c r="AB20" i="5" s="1"/>
  <c r="C28" i="5"/>
  <c r="B7" i="5"/>
  <c r="B11" i="5"/>
  <c r="B15" i="5"/>
  <c r="B19" i="5"/>
  <c r="B23" i="5"/>
  <c r="B27" i="5"/>
  <c r="C13" i="5"/>
  <c r="C21" i="5"/>
  <c r="C8" i="5"/>
  <c r="C14" i="5"/>
  <c r="C22" i="5"/>
  <c r="B9" i="5"/>
  <c r="B13" i="5"/>
  <c r="B17" i="5"/>
  <c r="B21" i="5"/>
  <c r="B25" i="5"/>
  <c r="B5" i="5"/>
  <c r="C9" i="5"/>
  <c r="C17" i="5"/>
  <c r="C25" i="5"/>
  <c r="C10" i="5"/>
  <c r="C18" i="5"/>
  <c r="C26" i="5"/>
  <c r="B28" i="5"/>
  <c r="B12" i="5"/>
  <c r="C6" i="5"/>
  <c r="B24" i="5"/>
  <c r="V24" i="5" s="1"/>
  <c r="B8" i="5"/>
  <c r="G64" i="6"/>
  <c r="B53" i="4"/>
  <c r="A37" i="6" s="1"/>
  <c r="B59" i="4"/>
  <c r="A42" i="6" s="1"/>
  <c r="B51" i="4"/>
  <c r="A35" i="6" s="1"/>
  <c r="B71" i="4"/>
  <c r="A52" i="6" s="1"/>
  <c r="B57" i="4"/>
  <c r="A40" i="6" s="1"/>
  <c r="F26" i="6" l="1"/>
  <c r="F46" i="6" s="1"/>
  <c r="D17" i="6"/>
  <c r="B32" i="6"/>
  <c r="G32" i="6" s="1"/>
  <c r="B42" i="6"/>
  <c r="G42" i="6" s="1"/>
  <c r="B47" i="6"/>
  <c r="G47" i="6" s="1"/>
  <c r="B27" i="6"/>
  <c r="G27" i="6" s="1"/>
  <c r="G22" i="6"/>
  <c r="H22" i="6" s="1"/>
  <c r="B52" i="6"/>
  <c r="G52" i="6" s="1"/>
  <c r="B37" i="6"/>
  <c r="G37" i="6" s="1"/>
  <c r="F27" i="6"/>
  <c r="D16" i="6"/>
  <c r="F36" i="6"/>
  <c r="F41" i="6"/>
  <c r="C16" i="6"/>
  <c r="G21" i="6"/>
  <c r="H21" i="6" s="1"/>
  <c r="B31" i="6"/>
  <c r="G31" i="6" s="1"/>
  <c r="B46" i="6"/>
  <c r="G46" i="6" s="1"/>
  <c r="B36" i="6"/>
  <c r="G36" i="6" s="1"/>
  <c r="B41" i="6"/>
  <c r="G41" i="6" s="1"/>
  <c r="B26" i="6"/>
  <c r="G26" i="6" s="1"/>
  <c r="F30" i="6"/>
  <c r="F45" i="6"/>
  <c r="F35" i="6"/>
  <c r="H35" i="6" s="1"/>
  <c r="F40" i="6"/>
  <c r="F66" i="6"/>
  <c r="F50" i="6"/>
  <c r="H50" i="6" s="1"/>
  <c r="H20" i="6"/>
  <c r="B30" i="6"/>
  <c r="G30" i="6" s="1"/>
  <c r="B25" i="6"/>
  <c r="G25" i="6" s="1"/>
  <c r="H25" i="6" s="1"/>
  <c r="G20" i="6"/>
  <c r="B45" i="6"/>
  <c r="G45" i="6" s="1"/>
  <c r="B40" i="6"/>
  <c r="G40" i="6" s="1"/>
  <c r="C39" i="6"/>
  <c r="C2" i="6"/>
  <c r="B2" i="6"/>
  <c r="C29" i="6"/>
  <c r="V16" i="5"/>
  <c r="G16" i="5" s="1"/>
  <c r="AB16" i="5"/>
  <c r="E24" i="5"/>
  <c r="X24" i="5" s="1"/>
  <c r="R24" i="5"/>
  <c r="J24" i="5"/>
  <c r="I24" i="5"/>
  <c r="F24" i="5"/>
  <c r="H24" i="5"/>
  <c r="G24" i="5"/>
  <c r="AB21" i="5"/>
  <c r="AB15" i="5"/>
  <c r="AB17" i="5"/>
  <c r="AB12" i="5"/>
  <c r="G68" i="6" s="1"/>
  <c r="V17" i="5"/>
  <c r="G17" i="5" s="1"/>
  <c r="AB13" i="5"/>
  <c r="V13" i="5"/>
  <c r="G13" i="5" s="1"/>
  <c r="AB7" i="5"/>
  <c r="V7" i="5"/>
  <c r="G7" i="5" s="1"/>
  <c r="AB10" i="5"/>
  <c r="AB8" i="5"/>
  <c r="AB28" i="5"/>
  <c r="V9" i="5"/>
  <c r="G9" i="5" s="1"/>
  <c r="AB9" i="5"/>
  <c r="V28" i="5"/>
  <c r="G28" i="5" s="1"/>
  <c r="V5" i="5"/>
  <c r="AB6" i="5"/>
  <c r="V26" i="5"/>
  <c r="G26" i="5" s="1"/>
  <c r="AB27" i="5"/>
  <c r="V12" i="5"/>
  <c r="G12" i="5" s="1"/>
  <c r="F69" i="6"/>
  <c r="V14" i="5"/>
  <c r="G14" i="5" s="1"/>
  <c r="AB23" i="5"/>
  <c r="AB26" i="5"/>
  <c r="V22" i="5"/>
  <c r="G22" i="5" s="1"/>
  <c r="V18" i="5"/>
  <c r="G18" i="5" s="1"/>
  <c r="AB25" i="5"/>
  <c r="V8" i="5"/>
  <c r="G8" i="5" s="1"/>
  <c r="AB19" i="5"/>
  <c r="V27" i="5"/>
  <c r="G27" i="5" s="1"/>
  <c r="AB22" i="5"/>
  <c r="V15" i="5"/>
  <c r="V6" i="5"/>
  <c r="G6" i="5" s="1"/>
  <c r="V10" i="5"/>
  <c r="V19" i="5"/>
  <c r="G19" i="5" s="1"/>
  <c r="AB18" i="5"/>
  <c r="V23" i="5"/>
  <c r="AB5" i="5"/>
  <c r="G66" i="6"/>
  <c r="H66" i="6" s="1"/>
  <c r="V20" i="5"/>
  <c r="G20" i="5" s="1"/>
  <c r="AB24" i="5"/>
  <c r="V25" i="5"/>
  <c r="G25" i="5" s="1"/>
  <c r="V21" i="5"/>
  <c r="AB11" i="5"/>
  <c r="G65" i="6" s="1"/>
  <c r="H65" i="6" s="1"/>
  <c r="V11" i="5"/>
  <c r="AB14" i="5"/>
  <c r="F16" i="5"/>
  <c r="H16" i="5"/>
  <c r="J16" i="5"/>
  <c r="I16" i="5"/>
  <c r="B64" i="6"/>
  <c r="H64" i="6"/>
  <c r="S24" i="5"/>
  <c r="R16" i="5" l="1"/>
  <c r="E16" i="5"/>
  <c r="X16" i="5" s="1"/>
  <c r="F51" i="6"/>
  <c r="H51" i="6" s="1"/>
  <c r="H26" i="6"/>
  <c r="D26" i="6" s="1"/>
  <c r="F31" i="6"/>
  <c r="H31" i="6" s="1"/>
  <c r="C31" i="6" s="1"/>
  <c r="F54" i="6"/>
  <c r="F59" i="6" s="1"/>
  <c r="H59" i="6" s="1"/>
  <c r="D59" i="6" s="1"/>
  <c r="F67" i="6"/>
  <c r="H68" i="6"/>
  <c r="C68" i="6" s="1"/>
  <c r="D22" i="6"/>
  <c r="C22" i="6"/>
  <c r="F68" i="6"/>
  <c r="F52" i="6"/>
  <c r="H52" i="6" s="1"/>
  <c r="F32" i="6"/>
  <c r="H32" i="6" s="1"/>
  <c r="F47" i="6"/>
  <c r="H47" i="6" s="1"/>
  <c r="F37" i="6"/>
  <c r="H37" i="6" s="1"/>
  <c r="H27" i="6"/>
  <c r="F42" i="6"/>
  <c r="H42" i="6" s="1"/>
  <c r="K68" i="6"/>
  <c r="D21" i="6"/>
  <c r="C21" i="6"/>
  <c r="K67" i="6"/>
  <c r="G67" i="6"/>
  <c r="H67" i="6" s="1"/>
  <c r="D67" i="6" s="1"/>
  <c r="F57" i="6"/>
  <c r="H57" i="6" s="1"/>
  <c r="C57" i="6" s="1"/>
  <c r="F62" i="6"/>
  <c r="H62" i="6" s="1"/>
  <c r="D62" i="6" s="1"/>
  <c r="D51" i="6"/>
  <c r="C51" i="6"/>
  <c r="H54" i="6"/>
  <c r="C54" i="6" s="1"/>
  <c r="H46" i="6"/>
  <c r="F55" i="6"/>
  <c r="H55" i="6" s="1"/>
  <c r="D31" i="6"/>
  <c r="H36" i="6"/>
  <c r="F60" i="6"/>
  <c r="H60" i="6" s="1"/>
  <c r="D60" i="6" s="1"/>
  <c r="H41" i="6"/>
  <c r="D25" i="6"/>
  <c r="C25" i="6"/>
  <c r="D50" i="6"/>
  <c r="C50" i="6"/>
  <c r="H40" i="6"/>
  <c r="D35" i="6"/>
  <c r="C35" i="6"/>
  <c r="H45" i="6"/>
  <c r="D20" i="6"/>
  <c r="K66" i="6"/>
  <c r="C20" i="6"/>
  <c r="H30" i="6"/>
  <c r="D54" i="6"/>
  <c r="E23" i="5"/>
  <c r="J23" i="5"/>
  <c r="F23" i="5"/>
  <c r="R23" i="5"/>
  <c r="H23" i="5"/>
  <c r="I23" i="5"/>
  <c r="R5" i="5"/>
  <c r="F5" i="5"/>
  <c r="J5" i="5"/>
  <c r="H5" i="5"/>
  <c r="E5" i="5"/>
  <c r="I5" i="5"/>
  <c r="E15" i="5"/>
  <c r="H15" i="5"/>
  <c r="J15" i="5"/>
  <c r="F15" i="5"/>
  <c r="I15" i="5"/>
  <c r="G15" i="5"/>
  <c r="R15" i="5"/>
  <c r="E7" i="5"/>
  <c r="J7" i="5"/>
  <c r="H7" i="5"/>
  <c r="I7" i="5"/>
  <c r="F7" i="5"/>
  <c r="R7" i="5"/>
  <c r="G23" i="5"/>
  <c r="E6" i="5"/>
  <c r="R6" i="5"/>
  <c r="I6" i="5"/>
  <c r="H6" i="5"/>
  <c r="J6" i="5"/>
  <c r="F6" i="5"/>
  <c r="F18" i="5"/>
  <c r="H18" i="5"/>
  <c r="E18" i="5"/>
  <c r="I18" i="5"/>
  <c r="R18" i="5"/>
  <c r="J18" i="5"/>
  <c r="E12" i="5"/>
  <c r="F12" i="5"/>
  <c r="H12" i="5"/>
  <c r="J12" i="5"/>
  <c r="R12" i="5"/>
  <c r="I12" i="5"/>
  <c r="H21" i="5"/>
  <c r="J21" i="5"/>
  <c r="I21" i="5"/>
  <c r="F21" i="5"/>
  <c r="E21" i="5"/>
  <c r="R21" i="5"/>
  <c r="F25" i="5"/>
  <c r="I25" i="5"/>
  <c r="E25" i="5"/>
  <c r="R25" i="5"/>
  <c r="H25" i="5"/>
  <c r="J25" i="5"/>
  <c r="G21" i="5"/>
  <c r="I20" i="5"/>
  <c r="E20" i="5"/>
  <c r="R20" i="5"/>
  <c r="H20" i="5"/>
  <c r="J20" i="5"/>
  <c r="F20" i="5"/>
  <c r="E10" i="5"/>
  <c r="R10" i="5"/>
  <c r="I10" i="5"/>
  <c r="F10" i="5"/>
  <c r="H10" i="5"/>
  <c r="J10" i="5"/>
  <c r="G10" i="5"/>
  <c r="E8" i="5"/>
  <c r="J8" i="5"/>
  <c r="H8" i="5"/>
  <c r="I8" i="5"/>
  <c r="R8" i="5"/>
  <c r="F8" i="5"/>
  <c r="J28" i="5"/>
  <c r="E28" i="5"/>
  <c r="F28" i="5"/>
  <c r="R28" i="5"/>
  <c r="I28" i="5"/>
  <c r="H28" i="5"/>
  <c r="D65" i="6"/>
  <c r="C65" i="6"/>
  <c r="E19" i="5"/>
  <c r="F19" i="5"/>
  <c r="J19" i="5"/>
  <c r="R19" i="5"/>
  <c r="I19" i="5"/>
  <c r="H19" i="5"/>
  <c r="E27" i="5"/>
  <c r="J27" i="5"/>
  <c r="R27" i="5"/>
  <c r="I27" i="5"/>
  <c r="F27" i="5"/>
  <c r="H27" i="5"/>
  <c r="E9" i="5"/>
  <c r="J9" i="5"/>
  <c r="H9" i="5"/>
  <c r="I9" i="5"/>
  <c r="R9" i="5"/>
  <c r="F9" i="5"/>
  <c r="F17" i="5"/>
  <c r="I17" i="5"/>
  <c r="J17" i="5"/>
  <c r="E17" i="5"/>
  <c r="R17" i="5"/>
  <c r="H17" i="5"/>
  <c r="D66" i="6"/>
  <c r="C66" i="6"/>
  <c r="J22" i="5"/>
  <c r="E22" i="5"/>
  <c r="H22" i="5"/>
  <c r="F22" i="5"/>
  <c r="R22" i="5"/>
  <c r="I22" i="5"/>
  <c r="E14" i="5"/>
  <c r="H14" i="5"/>
  <c r="F14" i="5"/>
  <c r="J14" i="5"/>
  <c r="I14" i="5"/>
  <c r="R14" i="5"/>
  <c r="I26" i="5"/>
  <c r="E26" i="5"/>
  <c r="J26" i="5"/>
  <c r="F26" i="5"/>
  <c r="H26" i="5"/>
  <c r="R26" i="5"/>
  <c r="E11" i="5"/>
  <c r="F11" i="5"/>
  <c r="H11" i="5"/>
  <c r="R11" i="5"/>
  <c r="J11" i="5"/>
  <c r="I11" i="5"/>
  <c r="G11" i="5"/>
  <c r="C69" i="6"/>
  <c r="G5" i="5"/>
  <c r="E13" i="5"/>
  <c r="J13" i="5"/>
  <c r="I13" i="5"/>
  <c r="R13" i="5"/>
  <c r="F13" i="5"/>
  <c r="H13" i="5"/>
  <c r="D64" i="6"/>
  <c r="C64" i="6"/>
  <c r="T24" i="5"/>
  <c r="S16" i="5"/>
  <c r="C60" i="6" l="1"/>
  <c r="D68" i="6"/>
  <c r="C26" i="6"/>
  <c r="F63" i="6"/>
  <c r="H63" i="6" s="1"/>
  <c r="C59" i="6"/>
  <c r="F58" i="6"/>
  <c r="H58" i="6" s="1"/>
  <c r="D57" i="6"/>
  <c r="D37" i="6"/>
  <c r="C37" i="6"/>
  <c r="D47" i="6"/>
  <c r="C47" i="6"/>
  <c r="D32" i="6"/>
  <c r="C32" i="6"/>
  <c r="D52" i="6"/>
  <c r="C52" i="6"/>
  <c r="D42" i="6"/>
  <c r="C42" i="6"/>
  <c r="D27" i="6"/>
  <c r="C27" i="6"/>
  <c r="D46" i="6"/>
  <c r="C46" i="6"/>
  <c r="F56" i="6"/>
  <c r="H56" i="6" s="1"/>
  <c r="D56" i="6" s="1"/>
  <c r="C62" i="6"/>
  <c r="D41" i="6"/>
  <c r="C41" i="6"/>
  <c r="C67" i="6"/>
  <c r="D36" i="6"/>
  <c r="C36" i="6"/>
  <c r="D45" i="6"/>
  <c r="C45" i="6"/>
  <c r="D40" i="6"/>
  <c r="C40" i="6"/>
  <c r="D30" i="6"/>
  <c r="C30" i="6"/>
  <c r="D55" i="6"/>
  <c r="C55" i="6"/>
  <c r="X17" i="5"/>
  <c r="X10" i="5"/>
  <c r="X9" i="5"/>
  <c r="X26" i="5"/>
  <c r="X12" i="5"/>
  <c r="X13" i="5"/>
  <c r="X22" i="5"/>
  <c r="X8" i="5"/>
  <c r="X25" i="5"/>
  <c r="X6" i="5"/>
  <c r="X15" i="5"/>
  <c r="X19" i="5"/>
  <c r="X28" i="5"/>
  <c r="X7" i="5"/>
  <c r="X11" i="5"/>
  <c r="X20" i="5"/>
  <c r="X18" i="5"/>
  <c r="X5" i="5"/>
  <c r="G69" i="6" a="1"/>
  <c r="G69" i="6" s="1"/>
  <c r="H69" i="6" s="1"/>
  <c r="H70" i="6" s="1"/>
  <c r="D2" i="6" s="1"/>
  <c r="X27" i="5"/>
  <c r="X21" i="5"/>
  <c r="X23" i="5"/>
  <c r="X14" i="5"/>
  <c r="S25" i="5"/>
  <c r="S8" i="5"/>
  <c r="S19" i="5"/>
  <c r="S23" i="5"/>
  <c r="S27" i="5"/>
  <c r="S12" i="5"/>
  <c r="T16" i="5"/>
  <c r="S28" i="5"/>
  <c r="S10" i="5"/>
  <c r="S15" i="5"/>
  <c r="S9" i="5"/>
  <c r="S7" i="5"/>
  <c r="S11" i="5"/>
  <c r="S22" i="5"/>
  <c r="S26" i="5"/>
  <c r="S14" i="5"/>
  <c r="S20" i="5"/>
  <c r="S13" i="5"/>
  <c r="S5" i="5"/>
  <c r="S17" i="5"/>
  <c r="S6" i="5"/>
  <c r="S18" i="5"/>
  <c r="S21" i="5"/>
  <c r="C58" i="6" l="1"/>
  <c r="D58" i="6"/>
  <c r="D63" i="6"/>
  <c r="C63" i="6"/>
  <c r="C56" i="6"/>
  <c r="T14" i="5"/>
  <c r="T27" i="5"/>
  <c r="T23" i="5"/>
  <c r="T15" i="5"/>
  <c r="T8" i="5"/>
  <c r="T13" i="5"/>
  <c r="T28" i="5"/>
  <c r="T11" i="5"/>
  <c r="T18" i="5"/>
  <c r="T25" i="5"/>
  <c r="T6" i="5"/>
  <c r="T26" i="5"/>
  <c r="T10" i="5"/>
  <c r="T7" i="5"/>
  <c r="T9" i="5"/>
  <c r="T17" i="5"/>
  <c r="T19" i="5"/>
  <c r="T12" i="5"/>
  <c r="T5" i="5"/>
  <c r="T20" i="5"/>
  <c r="T21" i="5"/>
  <c r="T2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<sst xmlns="http://schemas.openxmlformats.org/spreadsheetml/2006/main" count="22371" uniqueCount="15843">
  <si>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</si>
  <si>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</si>
  <si>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</si>
  <si>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</si>
  <si>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</si>
  <si>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</si>
  <si>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</si>
  <si>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</si>
  <si>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</si>
  <si>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</si>
  <si>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</si>
  <si>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</si>
  <si>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</si>
  <si>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</si>
  <si>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</si>
  <si>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</si>
  <si>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</si>
  <si>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</si>
  <si>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</si>
  <si>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</si>
  <si>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</si>
  <si>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</si>
  <si>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</si>
  <si>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</si>
  <si>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</si>
  <si>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</si>
  <si>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</si>
  <si>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</si>
  <si>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</si>
  <si>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</si>
  <si>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</si>
  <si>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</si>
  <si>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</si>
  <si>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</si>
  <si>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</si>
  <si>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</si>
  <si>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</si>
  <si>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</si>
  <si>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</si>
  <si>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</si>
  <si>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</si>
  <si>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</si>
  <si>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</si>
  <si>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</si>
  <si>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</si>
  <si>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</si>
  <si>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</si>
  <si>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</si>
  <si>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</si>
  <si>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</si>
  <si>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</si>
  <si>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</si>
  <si>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</si>
  <si>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</si>
  <si>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</si>
  <si>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</si>
  <si>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</si>
  <si>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</si>
  <si>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</si>
  <si>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</si>
  <si>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</si>
  <si>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</si>
  <si>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</si>
  <si>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</si>
  <si>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</si>
  <si>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</si>
  <si>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</si>
  <si>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</si>
  <si>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</si>
  <si>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</si>
  <si>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</si>
  <si>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</si>
  <si>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</si>
  <si>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</si>
  <si>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</si>
  <si>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</si>
  <si>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</si>
  <si>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</si>
  <si>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</si>
  <si>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</si>
  <si>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</si>
  <si>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</si>
  <si>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</si>
  <si>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</si>
  <si>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</si>
  <si>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</si>
  <si>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</si>
  <si>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</si>
  <si>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</si>
  <si>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</si>
  <si>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</si>
  <si>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</si>
  <si>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</si>
  <si>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</si>
  <si>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</si>
  <si>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</si>
  <si>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</si>
  <si>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</si>
  <si>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</si>
  <si>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</si>
  <si>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</si>
  <si>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</si>
  <si>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</si>
  <si>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</si>
  <si>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</si>
  <si>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</si>
  <si>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</si>
  <si>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</si>
  <si>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</si>
  <si>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</si>
  <si>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</si>
  <si>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</si>
  <si>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</si>
  <si>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</si>
  <si>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</si>
  <si>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</si>
  <si>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</si>
  <si>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</si>
  <si>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</si>
  <si>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</si>
  <si>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</si>
  <si>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</si>
  <si>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</si>
  <si>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</si>
  <si>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</si>
  <si>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</si>
  <si>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</si>
  <si>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</si>
  <si>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</si>
  <si>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</si>
  <si>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</si>
  <si>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</si>
  <si>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</si>
  <si>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</si>
  <si>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</si>
  <si>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</si>
  <si>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</si>
  <si>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</si>
  <si>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</si>
  <si>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</si>
  <si>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</si>
  <si>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</si>
  <si>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</si>
  <si>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</si>
  <si>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</si>
  <si>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</si>
  <si>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</si>
  <si>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</si>
  <si>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</si>
  <si>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</si>
  <si>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</si>
  <si>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</si>
  <si>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</si>
  <si>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</si>
  <si>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</si>
  <si>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</si>
  <si>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</si>
  <si>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</si>
  <si>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</si>
  <si>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</si>
  <si>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</si>
  <si>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</si>
  <si>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</si>
  <si>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</si>
  <si>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</si>
  <si>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</si>
  <si>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</si>
  <si>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</si>
  <si>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</si>
  <si>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</si>
  <si>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</si>
  <si>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</si>
  <si>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</si>
  <si>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</si>
  <si>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</si>
  <si>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</si>
  <si>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</si>
  <si>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</si>
  <si>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</si>
  <si>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</si>
  <si>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</si>
  <si>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</si>
  <si>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</si>
  <si>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</si>
  <si>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</si>
  <si>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</si>
  <si>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</si>
  <si>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</si>
  <si>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</si>
  <si>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</si>
  <si>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</si>
  <si>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</si>
  <si>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</si>
  <si>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</si>
  <si>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</si>
  <si>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</si>
  <si>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</si>
  <si>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</si>
  <si>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</si>
  <si>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</si>
  <si>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</si>
  <si>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</si>
  <si>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</si>
  <si>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</si>
  <si>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</si>
  <si>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</si>
  <si>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</si>
  <si>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</si>
  <si>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</si>
  <si>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</si>
  <si>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</si>
  <si>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</si>
  <si>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</si>
  <si>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</si>
  <si>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</si>
  <si>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</si>
  <si>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</si>
  <si>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</si>
  <si>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</si>
  <si>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</si>
  <si>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</si>
  <si>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</si>
  <si>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</si>
  <si>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</si>
  <si>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</si>
  <si>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</si>
  <si>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</si>
  <si>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</si>
  <si>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</si>
  <si>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</si>
  <si>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</si>
  <si>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</si>
  <si>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</si>
  <si>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</si>
  <si>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</si>
  <si>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</si>
  <si>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</si>
  <si>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</si>
  <si>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</si>
  <si>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</si>
  <si>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</si>
  <si>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</si>
  <si>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</si>
  <si>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</si>
  <si>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</si>
  <si>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</si>
  <si>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</si>
  <si>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</si>
  <si>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</si>
  <si>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</si>
  <si>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</si>
  <si>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</si>
  <si>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</si>
  <si>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</si>
  <si>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</si>
  <si>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</si>
  <si>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</si>
  <si>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</si>
  <si>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</si>
  <si>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</si>
  <si>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</si>
  <si>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</si>
  <si>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</si>
  <si>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</si>
  <si>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</si>
  <si>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</si>
  <si>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</si>
  <si>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</si>
  <si>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</si>
  <si>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</si>
  <si>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</si>
  <si>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</si>
  <si>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</si>
  <si>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</si>
  <si>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</si>
  <si>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</si>
  <si>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</si>
  <si>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</si>
  <si>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</si>
  <si>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</si>
  <si>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</si>
  <si>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</si>
  <si>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</si>
  <si>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</si>
  <si>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</si>
  <si>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</si>
  <si>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</si>
  <si>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</si>
  <si>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</si>
  <si>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</si>
  <si>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</si>
  <si>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</si>
  <si>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</si>
  <si>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</si>
  <si>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</si>
  <si>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</si>
  <si>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</si>
  <si>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</si>
  <si>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</si>
  <si>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</si>
  <si>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</si>
  <si>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</si>
  <si>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</si>
  <si>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</si>
  <si>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</si>
  <si>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</si>
  <si>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</si>
  <si>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</si>
  <si>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</si>
  <si>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</si>
  <si>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</si>
  <si>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</si>
  <si>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</si>
  <si>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</si>
  <si>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</si>
  <si>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</si>
  <si>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</si>
  <si>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</si>
  <si>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</si>
  <si>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</si>
  <si>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</si>
  <si>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</si>
  <si>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</si>
  <si>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</si>
  <si>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</si>
  <si>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</si>
  <si>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</si>
  <si>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</si>
  <si>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</si>
  <si>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</si>
  <si>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</si>
  <si>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</si>
  <si>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</si>
  <si>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</si>
  <si>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</si>
  <si>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</si>
  <si>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</si>
  <si>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</si>
  <si>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</si>
  <si>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</si>
  <si>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</si>
  <si>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</si>
  <si>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</si>
  <si>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</si>
  <si>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</si>
  <si>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</si>
  <si>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</si>
  <si>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</si>
  <si>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</si>
  <si>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</si>
  <si>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</si>
  <si>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</si>
  <si>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</si>
  <si>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</si>
  <si>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</si>
  <si>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</si>
  <si>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</si>
  <si>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</si>
  <si>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</si>
  <si>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</si>
  <si>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</si>
  <si>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</si>
  <si>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</si>
  <si>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</si>
  <si>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</si>
  <si>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</si>
  <si>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</si>
  <si>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</si>
  <si>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</si>
  <si>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</si>
  <si>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</si>
  <si>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</si>
  <si>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</si>
  <si>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</si>
  <si>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</si>
  <si>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</si>
  <si>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</si>
  <si>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</si>
  <si>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</si>
  <si>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</si>
  <si>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</si>
  <si>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</si>
  <si>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</si>
  <si>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</si>
  <si>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</si>
  <si>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</si>
  <si>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</si>
  <si>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</si>
  <si>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</si>
  <si>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</si>
  <si>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</si>
  <si>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</si>
  <si>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</si>
  <si>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</si>
  <si>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</si>
  <si>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</si>
  <si>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</si>
  <si>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</si>
  <si>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</si>
  <si>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</si>
  <si>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</si>
  <si>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</si>
  <si>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</si>
  <si>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</si>
  <si>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</si>
  <si>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</si>
  <si>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</si>
  <si>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</si>
  <si>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</si>
  <si>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</si>
  <si>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</si>
  <si>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</si>
  <si>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</si>
  <si>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</si>
  <si>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</si>
  <si>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</si>
  <si>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</si>
  <si>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</si>
  <si>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</si>
  <si>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</si>
  <si>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</si>
  <si>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</si>
  <si>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</si>
  <si>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</si>
  <si>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</si>
  <si>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</si>
  <si>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</si>
  <si>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</si>
  <si>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</si>
  <si>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</si>
  <si>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</si>
  <si>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</si>
  <si>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</si>
  <si>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</si>
  <si>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</si>
  <si>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</si>
  <si>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</si>
  <si>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</si>
  <si>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</si>
  <si>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</si>
  <si>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</si>
  <si>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</si>
  <si>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</si>
  <si>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</si>
  <si>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</si>
  <si>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</si>
  <si>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</si>
  <si>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</si>
  <si>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</si>
  <si>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</si>
  <si>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</si>
  <si>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</si>
  <si>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</si>
  <si>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</si>
  <si>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</si>
  <si>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</si>
  <si>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</si>
  <si>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</si>
  <si>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</si>
  <si>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</si>
  <si>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</si>
  <si>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</si>
  <si>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</si>
  <si>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</si>
  <si>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</si>
  <si>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</si>
  <si>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</si>
  <si>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</si>
  <si>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</si>
  <si>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</si>
  <si>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</si>
  <si>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</si>
  <si>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</si>
  <si>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</si>
  <si>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</si>
  <si>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</si>
  <si>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</si>
  <si>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</si>
  <si>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</si>
  <si>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</si>
  <si>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</si>
  <si>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</si>
  <si>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</si>
  <si>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</si>
  <si>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</si>
  <si>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</si>
  <si>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</si>
  <si>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</si>
  <si>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</si>
  <si>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</si>
  <si>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</si>
  <si>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</si>
  <si>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</si>
  <si>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</si>
  <si>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</si>
  <si>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</si>
  <si>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</si>
  <si>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</si>
  <si>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</si>
  <si>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</si>
  <si>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</si>
  <si>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</si>
  <si>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</si>
  <si>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</si>
  <si>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</si>
  <si>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</si>
  <si>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</si>
  <si>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</si>
  <si>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</si>
  <si>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</si>
  <si>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</si>
  <si>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</si>
  <si>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</si>
  <si>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</si>
  <si>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</si>
  <si>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</si>
  <si>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</si>
  <si>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</si>
  <si>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</si>
  <si>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</si>
  <si>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</si>
  <si>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</si>
  <si>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</si>
  <si>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</si>
  <si>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</si>
  <si>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</si>
  <si>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</si>
  <si>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</si>
  <si>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</si>
  <si>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</si>
  <si>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</si>
  <si>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</si>
  <si>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</si>
  <si>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</si>
  <si>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</si>
  <si>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</si>
  <si>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</si>
  <si>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</si>
  <si>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</si>
  <si>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</si>
  <si>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</si>
  <si>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</si>
  <si>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</si>
  <si>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</si>
  <si>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</si>
  <si>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</si>
  <si>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</si>
  <si>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</si>
  <si>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</si>
  <si>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</si>
  <si>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</si>
  <si>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</si>
  <si>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</si>
  <si>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</si>
  <si>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</si>
  <si>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</si>
  <si>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</si>
  <si>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</si>
  <si>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</si>
  <si>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</si>
  <si>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</si>
  <si>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</si>
  <si>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</si>
  <si>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</si>
  <si>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</si>
  <si>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</si>
  <si>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</si>
  <si>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</si>
  <si>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</si>
  <si>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</si>
  <si>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</si>
  <si>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</si>
  <si>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</si>
  <si>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</si>
  <si>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</si>
  <si>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</si>
  <si>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</si>
  <si>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</si>
  <si>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</si>
  <si>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</si>
  <si>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</si>
  <si>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</si>
  <si>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</si>
  <si>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</si>
  <si>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</si>
  <si>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</si>
  <si>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</si>
  <si>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</si>
  <si>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</si>
  <si>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</si>
  <si>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</si>
  <si>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</si>
  <si>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</si>
  <si>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</si>
  <si>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</si>
  <si>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</si>
  <si>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</si>
  <si>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</si>
  <si>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</si>
  <si>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</si>
  <si>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</si>
  <si>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</si>
  <si>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</si>
  <si>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</si>
  <si>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</si>
  <si>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</si>
  <si>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</si>
  <si>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</si>
  <si>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</si>
  <si>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</si>
  <si>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</si>
  <si>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</si>
  <si>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</si>
  <si>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</si>
  <si>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</si>
  <si>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</si>
  <si>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</si>
  <si>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</si>
  <si>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</si>
  <si>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</si>
  <si>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</si>
  <si>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</si>
  <si>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</si>
  <si>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</si>
  <si>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</si>
  <si>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</si>
  <si>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</si>
  <si>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</si>
  <si>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</si>
  <si>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</si>
  <si>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</si>
  <si>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</si>
  <si>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</si>
  <si>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</si>
  <si>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</si>
  <si>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</si>
  <si>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</si>
  <si>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</si>
  <si>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</si>
  <si>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</si>
  <si>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</si>
  <si>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</si>
  <si>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</si>
  <si>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</si>
  <si>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</si>
  <si>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</si>
  <si>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</si>
  <si>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</si>
  <si>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</si>
  <si>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</si>
  <si>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</si>
  <si>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</si>
  <si>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</si>
  <si>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</si>
  <si>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</si>
  <si>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</si>
  <si>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</si>
  <si>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</si>
  <si>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</si>
  <si>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</si>
  <si>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</si>
  <si>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</si>
  <si>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</si>
  <si>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</si>
  <si>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</si>
  <si>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</si>
  <si>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</si>
  <si>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</si>
  <si>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</si>
  <si>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</si>
  <si>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</si>
  <si>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</si>
  <si>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</si>
  <si>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</si>
  <si>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</si>
  <si>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</si>
  <si>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</si>
  <si>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</si>
  <si>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</si>
  <si>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</si>
  <si>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</si>
  <si>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</si>
  <si>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</si>
  <si>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</si>
  <si>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</si>
  <si>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</si>
  <si>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</si>
  <si>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</si>
  <si>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</si>
  <si>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</si>
  <si>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</si>
  <si>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</si>
  <si>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</si>
  <si>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</si>
  <si>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</si>
  <si>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</si>
  <si>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</si>
  <si>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</si>
  <si>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</si>
  <si>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</si>
  <si>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</si>
  <si>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</si>
  <si>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</si>
  <si>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</si>
  <si>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</si>
  <si>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</si>
  <si>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</si>
  <si>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</si>
  <si>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</si>
  <si>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</si>
  <si>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</si>
  <si>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</si>
  <si>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</si>
  <si>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</si>
  <si>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</si>
  <si>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</si>
  <si>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</si>
  <si>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</si>
  <si>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</si>
  <si>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</si>
  <si>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</si>
  <si>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</si>
  <si>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</si>
  <si>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</si>
  <si>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</si>
  <si>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</si>
  <si>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</si>
  <si>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</si>
  <si>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</si>
  <si>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</si>
  <si>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</si>
  <si>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</si>
  <si>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</si>
  <si>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</si>
  <si>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</si>
  <si>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</si>
  <si>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</si>
  <si>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</si>
  <si>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</si>
  <si>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</si>
  <si>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</si>
  <si>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</si>
  <si>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</si>
  <si>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</si>
  <si>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</si>
  <si>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</si>
  <si>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</si>
  <si>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</si>
  <si>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</si>
  <si>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</si>
  <si>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</si>
  <si>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</si>
  <si>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</si>
  <si>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</si>
  <si>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</si>
  <si>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</si>
  <si>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</si>
  <si>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</si>
  <si>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</si>
  <si>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</si>
  <si>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</si>
  <si>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</si>
  <si>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</si>
  <si>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</si>
  <si>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</si>
  <si>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</si>
  <si>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</si>
  <si>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</si>
  <si>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</si>
  <si>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</si>
  <si>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</si>
  <si>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</si>
  <si>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</si>
  <si>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</si>
  <si>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</si>
  <si>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</si>
  <si>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</si>
  <si>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</si>
  <si>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</si>
  <si>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</si>
  <si>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</si>
  <si>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</si>
  <si>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</si>
  <si>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</si>
  <si>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</si>
  <si>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</si>
  <si>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</si>
  <si>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</si>
  <si>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</si>
  <si>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</si>
  <si>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</si>
  <si>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</si>
  <si>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</si>
  <si>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</si>
  <si>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</si>
  <si>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</si>
  <si>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</si>
  <si>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</si>
  <si>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</si>
  <si>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</si>
  <si>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</si>
  <si>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</si>
  <si>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</si>
  <si>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</si>
  <si>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</si>
  <si>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</si>
  <si>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</si>
  <si>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</si>
  <si>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</si>
  <si>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</si>
  <si>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</si>
  <si>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</si>
  <si>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</si>
  <si>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</si>
  <si>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</si>
  <si>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</si>
  <si>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</si>
  <si>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</si>
  <si>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</si>
  <si>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</si>
  <si>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</si>
  <si>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</si>
  <si>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</si>
  <si>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</si>
  <si>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</si>
  <si>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</si>
  <si>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</si>
  <si>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</si>
  <si>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</si>
  <si>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</si>
  <si>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</si>
  <si>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</si>
  <si>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</si>
  <si>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</si>
  <si>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</si>
  <si>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</si>
  <si>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</si>
  <si>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</si>
  <si>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</si>
  <si>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</si>
  <si>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</si>
  <si>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</si>
  <si>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</si>
  <si>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</si>
  <si>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</si>
  <si>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</si>
  <si>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</si>
  <si>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</si>
  <si>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</si>
  <si>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</si>
  <si>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</si>
  <si>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</si>
  <si>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</si>
  <si>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</si>
  <si>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</si>
  <si>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</si>
  <si>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</si>
  <si>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</si>
  <si>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</si>
  <si>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</si>
  <si>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</si>
  <si>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</si>
  <si>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</si>
  <si>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</si>
  <si>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</si>
  <si>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</si>
  <si>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</si>
  <si>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</si>
  <si>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</si>
  <si>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</si>
  <si>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</si>
  <si>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</si>
  <si>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</si>
  <si>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</si>
  <si>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</si>
  <si>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</si>
  <si>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</si>
  <si>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</si>
  <si>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</si>
  <si>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</si>
  <si>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</si>
  <si>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</si>
  <si>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</si>
  <si>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</si>
  <si>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</si>
  <si>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</si>
  <si>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</si>
  <si>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</si>
  <si>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</si>
  <si>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</si>
  <si>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</si>
  <si>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</si>
  <si>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</si>
  <si>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</si>
  <si>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</si>
  <si>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</si>
  <si>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</si>
  <si>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</si>
  <si>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</si>
  <si>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</si>
  <si>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</si>
  <si>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</si>
  <si>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</si>
  <si>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</si>
  <si>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</si>
  <si>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</si>
  <si>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</si>
  <si>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</si>
  <si>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</si>
  <si>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</si>
  <si>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</si>
  <si>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</si>
  <si>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</si>
  <si>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</si>
  <si>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</si>
  <si>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</si>
  <si>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</si>
  <si>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</si>
  <si>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</si>
  <si>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</si>
  <si>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</si>
  <si>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</si>
  <si>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</si>
  <si>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</si>
  <si>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</si>
  <si>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</si>
  <si>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</si>
  <si>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</si>
  <si>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</si>
  <si>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</si>
  <si>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</si>
  <si>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</si>
  <si>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</si>
  <si>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</si>
  <si>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</si>
  <si>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</si>
  <si>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</si>
  <si>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</si>
  <si>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</si>
  <si>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</si>
  <si>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</si>
  <si>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</si>
  <si>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</si>
  <si>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</si>
  <si>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</si>
  <si>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</si>
  <si>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</si>
  <si>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</si>
  <si>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</si>
  <si>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</si>
  <si>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</si>
  <si>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</si>
  <si>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</si>
  <si>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</si>
  <si>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</si>
  <si>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</si>
  <si>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</si>
  <si>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</si>
  <si>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</si>
  <si>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</si>
  <si>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</si>
  <si>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</si>
  <si>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</si>
  <si>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</si>
  <si>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</si>
  <si>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</si>
  <si>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</si>
  <si>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</si>
  <si>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</si>
  <si>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</si>
  <si>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</si>
  <si>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</si>
  <si>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</si>
  <si>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</si>
  <si>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</si>
  <si>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</si>
  <si>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</si>
  <si>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</si>
  <si>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</si>
  <si>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</si>
  <si>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</si>
  <si>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</si>
  <si>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</si>
  <si>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</si>
  <si>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</si>
  <si>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</si>
  <si>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</si>
  <si>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</si>
  <si>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</si>
  <si>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</si>
  <si>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</si>
  <si>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</si>
  <si>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</si>
  <si>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</si>
  <si>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</si>
  <si>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</si>
  <si>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</si>
  <si>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</si>
  <si>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</si>
  <si>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</si>
  <si>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</si>
  <si>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</si>
  <si>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</si>
  <si>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</si>
  <si>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</si>
  <si>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</si>
  <si>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</si>
  <si>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</si>
  <si>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</si>
  <si>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</si>
  <si>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</si>
  <si>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</si>
  <si>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</si>
  <si>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</si>
  <si>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</si>
  <si>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</si>
  <si>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</si>
  <si>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</si>
  <si>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</si>
  <si>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</si>
  <si>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</si>
  <si>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</si>
  <si>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</si>
  <si>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</si>
  <si>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</si>
  <si>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</si>
  <si>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</si>
  <si>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</si>
  <si>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</si>
  <si>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</si>
  <si>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</si>
  <si>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</si>
  <si>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</si>
  <si>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</si>
  <si>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</si>
  <si>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</si>
  <si>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</si>
  <si>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</si>
  <si>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</si>
  <si>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</si>
  <si>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</si>
  <si>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</si>
  <si>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</si>
  <si>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</si>
  <si>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</si>
  <si>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</si>
  <si>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</si>
  <si>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</si>
  <si>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</si>
  <si>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</si>
  <si>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</si>
  <si>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</si>
  <si>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</si>
  <si>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</si>
  <si>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</si>
  <si>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</si>
  <si>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</si>
  <si>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</si>
  <si>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</si>
  <si>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</si>
  <si>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</si>
  <si>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</si>
  <si>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</si>
  <si>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</si>
  <si>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</si>
  <si>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</si>
  <si>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</si>
  <si>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</si>
  <si>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</si>
  <si>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</si>
  <si>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</si>
  <si>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</si>
  <si>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</si>
  <si>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</si>
  <si>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</si>
  <si>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</si>
  <si>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</si>
  <si>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</si>
  <si>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</si>
  <si>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</si>
  <si>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</si>
  <si>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</si>
  <si>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</si>
  <si>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</si>
  <si>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</si>
  <si>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</si>
  <si>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</si>
  <si>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</si>
  <si>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</si>
  <si>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</si>
  <si>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</si>
  <si>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</si>
  <si>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</si>
  <si>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</si>
  <si>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</si>
  <si>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</si>
  <si>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</si>
  <si>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</si>
  <si>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</si>
  <si>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</si>
  <si>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</si>
  <si>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</si>
  <si>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</si>
  <si>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</si>
  <si>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</si>
  <si>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</si>
  <si>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</si>
  <si>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</si>
  <si>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</si>
  <si>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</si>
  <si>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</si>
  <si>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</si>
  <si>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</si>
  <si>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</si>
  <si>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</si>
  <si>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</si>
  <si>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</si>
  <si>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</si>
  <si>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</si>
  <si>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</si>
  <si>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</si>
  <si>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</si>
  <si>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</si>
  <si>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</si>
  <si>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</si>
  <si>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</si>
  <si>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</si>
  <si>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</si>
  <si>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</si>
  <si>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</si>
  <si>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</si>
  <si>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</si>
  <si>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</si>
  <si>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</si>
  <si>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</si>
  <si>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</si>
  <si>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</si>
  <si>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</si>
  <si>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</si>
  <si>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</si>
  <si>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</si>
  <si>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</si>
  <si>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</si>
  <si>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</si>
  <si>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</si>
  <si>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</si>
  <si>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</si>
  <si>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</si>
  <si>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</si>
  <si>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</si>
  <si>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</si>
  <si>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</si>
  <si>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</si>
  <si>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</si>
  <si>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</si>
  <si>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</si>
  <si>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</si>
  <si>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</si>
  <si>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</si>
  <si>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</si>
  <si>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</si>
  <si>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</si>
  <si>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</si>
  <si>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</si>
  <si>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</si>
  <si>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</si>
  <si>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</si>
  <si>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</si>
  <si>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</si>
  <si>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</si>
  <si>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</si>
  <si>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</si>
  <si>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</si>
  <si>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</si>
  <si>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</si>
  <si>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</si>
  <si>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</si>
  <si>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</si>
  <si>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</si>
  <si>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</si>
  <si>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</si>
  <si>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</si>
  <si>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</si>
  <si>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</si>
  <si>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</si>
  <si>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</si>
  <si>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</si>
  <si>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</si>
  <si>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</si>
  <si>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</si>
  <si>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</si>
  <si>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</si>
  <si>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</si>
  <si>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</si>
  <si>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</si>
  <si>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</si>
  <si>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</si>
  <si>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</si>
  <si>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</si>
  <si>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</si>
  <si>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</si>
  <si>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</si>
  <si>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</si>
  <si>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</si>
  <si>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</si>
  <si>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</si>
  <si>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</si>
  <si>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</si>
  <si>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</si>
  <si>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</si>
  <si>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</si>
  <si>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</si>
  <si>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</si>
  <si>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</si>
  <si>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</si>
  <si>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</si>
  <si>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</si>
  <si>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</si>
  <si>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</si>
  <si>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</si>
  <si>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</si>
  <si>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</si>
  <si>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</si>
  <si>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</si>
  <si>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</si>
  <si>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</si>
  <si>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</si>
  <si>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</si>
  <si>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</si>
  <si>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</si>
  <si>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</si>
  <si>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</si>
  <si>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</si>
  <si>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</si>
  <si>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</si>
  <si>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</si>
  <si>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</si>
  <si>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</si>
  <si>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</si>
  <si>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</si>
  <si>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</si>
  <si>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</si>
  <si>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</si>
  <si>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</si>
  <si>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</si>
  <si>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</si>
  <si>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</si>
  <si>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</si>
  <si>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</si>
  <si>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</si>
  <si>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</si>
  <si>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</si>
  <si>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</si>
  <si>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</si>
  <si>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</si>
  <si>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</si>
  <si>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</si>
  <si>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</si>
  <si>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</si>
  <si>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</si>
  <si>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</si>
  <si>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</si>
  <si>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</si>
  <si>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</si>
  <si>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</si>
  <si>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</si>
  <si>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</si>
  <si>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</si>
  <si>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</si>
  <si>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</si>
  <si>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</si>
  <si>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</si>
  <si>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</si>
  <si>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</si>
  <si>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</si>
  <si>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</si>
  <si>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</si>
  <si>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</si>
  <si>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</si>
  <si>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</si>
  <si>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</si>
  <si>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</si>
  <si>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</si>
  <si>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</si>
  <si>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</si>
  <si>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</si>
  <si>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</si>
  <si>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</si>
  <si>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</si>
  <si>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</si>
  <si>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</si>
  <si>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</si>
  <si>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</si>
  <si>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</si>
  <si>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</si>
  <si>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</si>
  <si>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</si>
  <si>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</si>
  <si>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</si>
  <si>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</si>
  <si>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</si>
  <si>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</si>
  <si>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</si>
  <si>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</si>
  <si>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</si>
  <si>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</si>
  <si>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</si>
  <si>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</si>
  <si>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</si>
  <si>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</si>
  <si>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</si>
  <si>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</si>
  <si>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</si>
  <si>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</si>
  <si>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</si>
  <si>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</si>
  <si>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</si>
  <si>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</si>
  <si>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</si>
  <si>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</si>
  <si>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</si>
  <si>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</si>
  <si>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</si>
  <si>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</si>
  <si>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</si>
  <si>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</si>
  <si>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</si>
  <si>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</si>
  <si>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</si>
  <si>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</si>
  <si>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</si>
  <si>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</si>
  <si>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</si>
  <si>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</si>
  <si>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</si>
  <si>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</si>
  <si>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</si>
  <si>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</si>
  <si>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</si>
  <si>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</si>
  <si>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</si>
  <si>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</si>
  <si>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</si>
  <si>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</si>
  <si>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</si>
  <si>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</si>
  <si>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</si>
  <si>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</si>
  <si>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</si>
  <si>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</si>
  <si>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</si>
  <si>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</si>
  <si>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</si>
  <si>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</si>
  <si>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</si>
  <si>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</si>
  <si>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</si>
  <si>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</si>
  <si>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</si>
  <si>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</si>
  <si>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</si>
  <si>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</si>
  <si>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</si>
  <si>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</si>
  <si>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</si>
  <si>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</si>
  <si>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</si>
  <si>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</si>
  <si>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</si>
  <si>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</si>
  <si>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</si>
  <si>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</si>
  <si>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</si>
  <si>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</si>
  <si>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</si>
  <si>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</si>
  <si>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</si>
  <si>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</si>
  <si>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</si>
  <si>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</si>
  <si>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</si>
  <si>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</si>
  <si>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</si>
  <si>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</si>
  <si>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</si>
  <si>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</si>
  <si>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</si>
  <si>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</si>
  <si>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</si>
  <si>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</si>
  <si>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</si>
  <si>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</si>
  <si>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</si>
  <si>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</si>
  <si>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</si>
  <si>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</si>
  <si>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</si>
  <si>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</si>
  <si>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</si>
  <si>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</si>
  <si>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</si>
  <si>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</si>
  <si>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</si>
  <si>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</si>
  <si>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</si>
  <si>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</si>
  <si>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</si>
  <si>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</si>
  <si>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</si>
  <si>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</si>
  <si>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</si>
  <si>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</si>
  <si>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</si>
  <si>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</si>
  <si>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</si>
  <si>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</si>
  <si>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</si>
  <si>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</si>
  <si>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</si>
  <si>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</si>
  <si>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</si>
  <si>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</si>
  <si>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</si>
  <si>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</si>
  <si>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</si>
  <si>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</si>
  <si>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</si>
  <si>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</si>
  <si>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</si>
  <si>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</si>
  <si>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</si>
  <si>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</si>
  <si>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</si>
  <si>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</si>
  <si>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</si>
  <si>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</si>
  <si>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</si>
  <si>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</si>
  <si>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</si>
  <si>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</si>
  <si>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</si>
  <si>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</si>
  <si>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</si>
  <si>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</si>
  <si>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</si>
  <si>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</si>
  <si>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</si>
  <si>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</si>
  <si>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</si>
  <si>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</si>
  <si>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</si>
  <si>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</si>
  <si>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</si>
  <si>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</si>
  <si>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</si>
  <si>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</si>
  <si>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</si>
  <si>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</si>
  <si>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</si>
  <si>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</si>
  <si>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</si>
  <si>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</si>
  <si>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</si>
  <si>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</si>
  <si>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</si>
  <si>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</si>
  <si>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</si>
  <si>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</si>
  <si>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</si>
  <si>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</si>
  <si>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</si>
  <si>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</si>
  <si>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</si>
  <si>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</si>
  <si>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</si>
  <si>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</si>
  <si>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</si>
  <si>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</si>
  <si>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</si>
  <si>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</si>
  <si>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</si>
  <si>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</si>
  <si>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</si>
  <si>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</si>
  <si>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</si>
  <si>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</si>
  <si>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</si>
  <si>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</si>
  <si>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</si>
  <si>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</si>
  <si>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</si>
  <si>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</si>
  <si>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</si>
  <si>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</si>
  <si>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</si>
  <si>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</si>
  <si>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</si>
  <si>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</si>
  <si>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</si>
  <si>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</si>
  <si>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</si>
  <si>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</si>
  <si>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</si>
  <si>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</si>
  <si>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</si>
  <si>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</si>
  <si>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</si>
  <si>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</si>
  <si>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</si>
  <si>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</si>
  <si>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</si>
  <si>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</si>
  <si>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</si>
  <si>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</si>
  <si>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</si>
  <si>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</si>
  <si>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</si>
  <si>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</si>
  <si>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</si>
  <si>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</si>
  <si>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</si>
  <si>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</si>
  <si>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</si>
  <si>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</si>
  <si>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</si>
  <si>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</si>
  <si>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</si>
  <si>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</si>
  <si>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</si>
  <si>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</si>
  <si>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</si>
  <si>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</si>
  <si>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</si>
  <si>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</si>
  <si>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</si>
  <si>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</si>
  <si>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</si>
  <si>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</si>
  <si>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</si>
  <si>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</si>
  <si>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</si>
  <si>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</si>
  <si>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</si>
  <si>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</si>
  <si>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</si>
  <si>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</si>
  <si>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</si>
  <si>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</si>
  <si>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</si>
  <si>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</si>
  <si>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</si>
  <si>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</si>
  <si>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</si>
  <si>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</si>
  <si>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</si>
  <si>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</si>
  <si>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</si>
  <si>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</si>
  <si>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</si>
  <si>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</si>
  <si>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</si>
  <si>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</si>
  <si>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</si>
  <si>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</si>
  <si>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</si>
  <si>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</si>
  <si>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</si>
  <si>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</si>
  <si>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</si>
  <si>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</si>
  <si>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</si>
  <si>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</si>
  <si>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</si>
  <si>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</si>
  <si>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</si>
  <si>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</si>
  <si>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</si>
  <si>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</si>
  <si>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</si>
  <si>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</si>
  <si>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</si>
  <si>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</si>
  <si>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</si>
  <si>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</si>
  <si>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</si>
  <si>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</si>
  <si>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</si>
  <si>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</si>
  <si>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</si>
  <si>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</si>
  <si>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</si>
  <si>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</si>
  <si>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</si>
  <si>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</si>
  <si>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</si>
  <si>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</si>
  <si>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</si>
  <si>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</si>
  <si>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</si>
  <si>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</si>
  <si>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</si>
  <si>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</si>
  <si>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</si>
  <si>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</si>
  <si>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</si>
  <si>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</si>
  <si>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</si>
  <si>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</si>
  <si>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</si>
  <si>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</si>
  <si>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</si>
  <si>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</si>
  <si>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</si>
  <si>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</si>
  <si>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</si>
  <si>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</si>
  <si>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</si>
  <si>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</si>
  <si>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</si>
  <si>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</si>
  <si>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</si>
  <si>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</si>
  <si>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</si>
  <si>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</si>
  <si>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</si>
  <si>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</si>
  <si>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</si>
  <si>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</si>
  <si>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</si>
  <si>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</si>
  <si>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</si>
  <si>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</si>
  <si>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</si>
  <si>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</si>
  <si>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</si>
  <si>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</si>
  <si>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</si>
  <si>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</si>
  <si>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</si>
  <si>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</si>
  <si>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</si>
  <si>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</si>
  <si>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</si>
  <si>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</si>
  <si>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</si>
  <si>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</si>
  <si>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</si>
  <si>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</si>
  <si>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</si>
  <si>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</si>
  <si>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</si>
  <si>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</si>
  <si>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</si>
  <si>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</si>
  <si>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</si>
  <si>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</si>
  <si>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</si>
  <si>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</si>
  <si>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</si>
  <si>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</si>
  <si>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</si>
  <si>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</si>
  <si>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</si>
  <si>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</si>
  <si>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</si>
  <si>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</si>
  <si>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</si>
  <si>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</si>
  <si>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</si>
  <si>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</si>
  <si>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</si>
  <si>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</si>
  <si>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</si>
  <si>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</si>
  <si>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</si>
  <si>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</si>
  <si>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</si>
  <si>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</si>
  <si>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</si>
  <si>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</si>
  <si>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</si>
  <si>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</si>
  <si>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</si>
  <si>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</si>
  <si>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</si>
  <si>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</si>
  <si>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</si>
  <si>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</si>
  <si>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</si>
  <si>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</si>
  <si>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</si>
  <si>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</si>
  <si>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</si>
  <si>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</si>
  <si>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</si>
  <si>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</si>
  <si>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</si>
  <si>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</si>
  <si>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</si>
  <si>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</si>
  <si>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</si>
  <si>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</si>
  <si>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</si>
  <si>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</si>
  <si>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</si>
  <si>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</si>
  <si>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</si>
  <si>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</si>
  <si>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</si>
  <si>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</si>
  <si>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</si>
  <si>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</si>
  <si>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</si>
  <si>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</si>
  <si>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</si>
  <si>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</si>
  <si>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</si>
  <si>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</si>
  <si>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</si>
  <si>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</si>
  <si>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</si>
  <si>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</si>
  <si>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</si>
  <si>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</si>
  <si>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</si>
  <si>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</si>
  <si>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</si>
  <si>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</si>
  <si>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</si>
  <si>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</si>
  <si>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</si>
  <si>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</si>
  <si>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</si>
  <si>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</si>
  <si>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</si>
  <si>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</si>
  <si>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</si>
  <si>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</si>
  <si>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</si>
  <si>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</si>
  <si>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</si>
  <si>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</si>
  <si>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</si>
  <si>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</si>
  <si>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</si>
  <si>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</si>
  <si>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</si>
  <si>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</si>
  <si>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</si>
  <si>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</si>
  <si>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</si>
  <si>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</si>
  <si>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</si>
  <si>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</si>
  <si>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</si>
  <si>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</si>
  <si>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</si>
  <si>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</si>
  <si>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</si>
  <si>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</si>
  <si>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</si>
  <si>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</si>
  <si>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</si>
  <si>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</si>
  <si>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</si>
  <si>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</si>
  <si>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</si>
  <si>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</si>
  <si>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</si>
  <si>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</si>
  <si>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</si>
  <si>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</si>
  <si>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</si>
  <si>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</si>
  <si>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</si>
  <si>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</si>
  <si>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</si>
  <si>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</si>
  <si>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</si>
  <si>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</si>
  <si>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</si>
  <si>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</si>
  <si>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</si>
  <si>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</si>
  <si>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</si>
  <si>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</si>
  <si>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</si>
  <si>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</si>
  <si>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</si>
  <si>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</si>
  <si>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</si>
  <si>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</si>
  <si>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</si>
  <si>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</si>
  <si>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</si>
  <si>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</si>
  <si>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</si>
  <si>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</si>
  <si>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</si>
  <si>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</si>
  <si>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</si>
  <si>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</si>
  <si>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</si>
  <si>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</si>
  <si>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</si>
  <si>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</si>
  <si>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</si>
  <si>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</si>
  <si>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</si>
  <si>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</si>
  <si>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</si>
  <si>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</si>
  <si>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</si>
  <si>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</si>
  <si>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</si>
  <si>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</si>
  <si>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</si>
  <si>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</si>
  <si>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</si>
  <si>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</si>
  <si>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</si>
  <si>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</si>
  <si>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</si>
  <si>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</si>
  <si>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</si>
  <si>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</si>
  <si>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</si>
  <si>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</si>
  <si>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</si>
  <si>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</si>
  <si>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</si>
  <si>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</si>
  <si>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</si>
  <si>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</si>
  <si>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</si>
  <si>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</si>
  <si>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</si>
  <si>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</si>
  <si>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</si>
  <si>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</si>
  <si>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</si>
  <si>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</si>
  <si>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</si>
  <si>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</si>
  <si>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</si>
  <si>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</si>
  <si>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</si>
  <si>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</si>
  <si>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</si>
  <si>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</si>
  <si>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</si>
  <si>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</si>
  <si>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</si>
  <si>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</si>
  <si>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</si>
  <si>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</si>
  <si>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</si>
  <si>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</si>
  <si>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</si>
  <si>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</si>
  <si>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</si>
  <si>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</si>
  <si>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</si>
  <si>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</si>
  <si>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</si>
  <si>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</si>
  <si>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</si>
  <si>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</si>
  <si>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</si>
  <si>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</si>
  <si>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</si>
  <si>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</si>
  <si>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</si>
  <si>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</si>
  <si>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</si>
  <si>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</si>
  <si>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</si>
  <si>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</si>
  <si>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</si>
  <si>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</si>
  <si>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</si>
  <si>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</si>
  <si>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</si>
  <si>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</si>
  <si>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</si>
  <si>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</si>
  <si>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</si>
  <si>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</si>
  <si>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</si>
  <si>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</si>
  <si>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</si>
  <si>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</si>
  <si>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</si>
  <si>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</si>
  <si>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</si>
  <si>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</si>
  <si>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</si>
  <si>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</si>
  <si>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</si>
  <si>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</si>
  <si>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</si>
  <si>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</si>
  <si>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</si>
  <si>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</si>
  <si>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</si>
  <si>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</si>
  <si>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</si>
  <si>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</si>
  <si>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</si>
  <si>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</si>
  <si>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</si>
  <si>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</si>
  <si>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</si>
  <si>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</si>
  <si>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</si>
  <si>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</si>
  <si>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</si>
  <si>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</si>
  <si>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</si>
  <si>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</si>
  <si>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</si>
  <si>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</si>
  <si>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</si>
  <si>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</si>
  <si>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</si>
  <si>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</si>
  <si>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</si>
  <si>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</si>
  <si>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</si>
  <si>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</si>
  <si>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</si>
  <si>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</si>
  <si>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</si>
  <si>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</si>
  <si>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</si>
  <si>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</si>
  <si>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</si>
  <si>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</si>
  <si>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</si>
  <si>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</si>
  <si>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</si>
  <si>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</si>
  <si>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</si>
  <si>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</si>
  <si>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</si>
  <si>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</si>
  <si>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</si>
  <si>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</si>
  <si>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</si>
  <si>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</si>
  <si>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</si>
  <si>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</si>
  <si>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</si>
  <si>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</si>
  <si>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</si>
  <si>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</si>
  <si>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</si>
  <si>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</si>
  <si>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</si>
  <si>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</si>
  <si>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</si>
  <si>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</si>
  <si>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</si>
  <si>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</si>
  <si>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</si>
  <si>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</si>
  <si>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</si>
  <si>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</si>
  <si>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</si>
  <si>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</si>
  <si>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</si>
  <si>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</si>
  <si>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</si>
  <si>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</si>
  <si>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</si>
  <si>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</si>
  <si>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</si>
  <si>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</si>
  <si>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</si>
  <si>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</si>
  <si>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</si>
  <si>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</si>
  <si>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</si>
  <si>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</si>
  <si>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</si>
  <si>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</si>
  <si>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</si>
  <si>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</si>
  <si>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</si>
  <si>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</si>
  <si>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</si>
  <si>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</si>
  <si>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</si>
  <si>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</si>
  <si>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</si>
  <si>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</si>
  <si>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</si>
  <si>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</si>
  <si>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</si>
  <si>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</si>
  <si>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</si>
  <si>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</si>
  <si>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</si>
  <si>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</si>
  <si>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</si>
  <si>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</si>
  <si>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</si>
  <si>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</si>
  <si>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</si>
  <si>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</si>
  <si>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</si>
  <si>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</si>
  <si>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</si>
  <si>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</si>
  <si>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</si>
  <si>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</si>
  <si>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</si>
  <si>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</si>
  <si>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</si>
  <si>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</si>
  <si>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</si>
  <si>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</si>
  <si>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</si>
  <si>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</si>
  <si>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</si>
  <si>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</si>
  <si>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</si>
  <si>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</si>
  <si>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</si>
  <si>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</si>
  <si>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</si>
  <si>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</si>
  <si>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</si>
  <si>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</si>
  <si>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</si>
  <si>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</si>
  <si>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</si>
  <si>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</si>
  <si>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</si>
  <si>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</si>
  <si>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</si>
  <si>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</si>
  <si>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</si>
  <si>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</si>
  <si>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</si>
  <si>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</si>
  <si>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</si>
  <si>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</si>
  <si>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</si>
  <si>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</si>
  <si>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</si>
  <si>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</si>
  <si>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</si>
  <si>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</si>
  <si>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</si>
  <si>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</si>
  <si>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</si>
  <si>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</si>
  <si>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</si>
  <si>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</si>
  <si>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</si>
  <si>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</si>
  <si>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</si>
  <si>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</si>
  <si>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</si>
  <si>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</si>
  <si>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</si>
  <si>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</si>
  <si>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</si>
  <si>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</si>
  <si>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</si>
  <si>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</si>
  <si>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</si>
  <si>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</si>
  <si>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</si>
  <si>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</si>
  <si>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</si>
  <si>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</si>
  <si>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</si>
  <si>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</si>
  <si>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</si>
  <si>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</si>
  <si>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</si>
  <si>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</si>
  <si>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</si>
  <si>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</si>
  <si>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</si>
  <si>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</si>
  <si>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</si>
  <si>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</si>
  <si>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</si>
  <si>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</si>
  <si>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</si>
  <si>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</si>
  <si>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</si>
  <si>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</si>
  <si>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</si>
  <si>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</si>
  <si>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</si>
  <si>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</si>
  <si>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</si>
  <si>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</si>
  <si>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</si>
  <si>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</si>
  <si>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</si>
  <si>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</si>
  <si>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</si>
  <si>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</si>
  <si>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</si>
  <si>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</si>
  <si>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</si>
  <si>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</si>
  <si>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</si>
  <si>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</si>
  <si>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</si>
  <si>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</si>
  <si>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</si>
  <si>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</si>
  <si>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</si>
  <si>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</si>
  <si>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</si>
  <si>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</si>
  <si>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</si>
  <si>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</si>
  <si>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</si>
  <si>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</si>
  <si>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</si>
  <si>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</si>
  <si>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</si>
  <si>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</si>
  <si>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</si>
  <si>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</si>
  <si>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</si>
  <si>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</si>
  <si>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</si>
  <si>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</si>
  <si>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</si>
  <si>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</si>
  <si>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</si>
  <si>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</si>
  <si>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</si>
  <si>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</si>
  <si>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</si>
  <si>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</si>
  <si>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</si>
  <si>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</si>
  <si>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</si>
  <si>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</si>
  <si>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</si>
  <si>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</si>
  <si>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</si>
  <si>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</si>
  <si>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</si>
  <si>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</si>
  <si>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</si>
  <si>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</si>
  <si>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</si>
  <si>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</si>
  <si>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</si>
  <si>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</si>
  <si>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</si>
  <si>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</si>
  <si>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</si>
  <si>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</si>
  <si>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</si>
  <si>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</si>
  <si>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</si>
  <si>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</si>
  <si>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</si>
  <si>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</si>
  <si>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</si>
  <si>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</si>
  <si>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</si>
  <si>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</si>
  <si>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</si>
  <si>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</si>
  <si>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</si>
  <si>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</si>
  <si>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</si>
  <si>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</si>
  <si>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</si>
  <si>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</si>
  <si>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</si>
  <si>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</si>
  <si>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</si>
  <si>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</si>
  <si>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</si>
  <si>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</si>
  <si>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</si>
  <si>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</si>
  <si>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</si>
  <si>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</si>
  <si>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</si>
  <si>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</si>
  <si>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</si>
  <si>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</si>
  <si>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</si>
  <si>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</si>
  <si>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</si>
  <si>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</si>
  <si>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</si>
  <si>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</si>
  <si>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</si>
  <si>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</si>
  <si>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</si>
  <si>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</si>
  <si>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</si>
  <si>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</si>
  <si>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</si>
  <si>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</si>
  <si>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</si>
  <si>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</si>
  <si>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</si>
  <si>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</si>
  <si>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</si>
  <si>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</si>
  <si>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</si>
  <si>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</si>
  <si>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</si>
  <si>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</si>
  <si>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</si>
  <si>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</si>
  <si>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</si>
  <si>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</si>
  <si>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</si>
  <si>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</si>
  <si>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</si>
  <si>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</si>
  <si>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</si>
  <si>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</si>
  <si>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</si>
  <si>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</si>
  <si>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</si>
  <si>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</si>
  <si>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</si>
  <si>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</si>
  <si>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</si>
  <si>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</si>
  <si>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</si>
  <si>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</si>
  <si>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</si>
  <si>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</si>
  <si>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</si>
  <si>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</si>
  <si>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</si>
  <si>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</si>
  <si>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</si>
  <si>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</si>
  <si>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</si>
  <si>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</si>
  <si>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</si>
  <si>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</si>
  <si>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</si>
  <si>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</si>
  <si>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</si>
  <si>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</si>
  <si>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</si>
  <si>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</si>
  <si>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</si>
  <si>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</si>
  <si>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</si>
  <si>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</si>
  <si>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</si>
  <si>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</si>
  <si>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</si>
  <si>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</si>
  <si>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</si>
  <si>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</si>
  <si>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</si>
  <si>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</si>
  <si>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</si>
  <si>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</si>
  <si>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</si>
  <si>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</si>
  <si>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</si>
  <si>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</si>
  <si>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</si>
  <si>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</si>
  <si>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</si>
  <si>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</si>
  <si>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</si>
  <si>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</si>
  <si>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</si>
  <si>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</si>
  <si>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</si>
  <si>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</si>
  <si>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</si>
  <si>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</si>
  <si>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</si>
  <si>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</si>
  <si>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</si>
  <si>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</si>
  <si>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</si>
  <si>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</si>
  <si>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</si>
  <si>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</si>
  <si>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</si>
  <si>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</si>
  <si>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</si>
  <si>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</si>
  <si>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</si>
  <si>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</si>
  <si>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</si>
  <si>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</si>
  <si>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</si>
  <si>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</si>
  <si>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</si>
  <si>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</si>
  <si>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</si>
  <si>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</si>
  <si>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</si>
  <si>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</si>
  <si>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</si>
  <si>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</si>
  <si>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</si>
  <si>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</si>
  <si>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</si>
  <si>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</si>
  <si>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</si>
  <si>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</si>
  <si>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</si>
  <si>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</si>
  <si>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</si>
  <si>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</si>
  <si>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</si>
  <si>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</si>
  <si>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</si>
  <si>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</si>
  <si>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</si>
  <si>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</si>
  <si>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</si>
  <si>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</si>
  <si>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</si>
  <si>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</si>
  <si>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</si>
  <si>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</si>
  <si>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</si>
  <si>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</si>
  <si>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</si>
  <si>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</si>
  <si>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</si>
  <si>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</si>
  <si>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</si>
  <si>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</si>
  <si>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</si>
  <si>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</si>
  <si>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</si>
  <si>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</si>
  <si>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</si>
  <si>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</si>
  <si>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</si>
  <si>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</si>
  <si>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</si>
  <si>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</si>
  <si>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</si>
  <si>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</si>
  <si>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</si>
  <si>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</si>
  <si>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</si>
  <si>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</si>
  <si>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</si>
  <si>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</si>
  <si>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</si>
  <si>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</si>
  <si>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</si>
  <si>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</si>
  <si>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</si>
  <si>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</si>
  <si>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</si>
  <si>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</si>
  <si>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</si>
  <si>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</si>
  <si>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</si>
  <si>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</si>
  <si>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</si>
  <si>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</si>
  <si>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</si>
  <si>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</si>
  <si>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</si>
  <si>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</si>
  <si>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</si>
  <si>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</si>
  <si>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</si>
  <si>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</si>
  <si>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</si>
  <si>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</si>
  <si>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</si>
  <si>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</si>
  <si>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</si>
  <si>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</si>
  <si>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</si>
  <si>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</si>
  <si>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</si>
  <si>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</si>
  <si>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</si>
  <si>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</si>
  <si>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</si>
  <si>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</si>
  <si>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</si>
  <si>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</si>
  <si>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</si>
  <si>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</si>
  <si>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</si>
  <si>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</si>
  <si>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</si>
  <si>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</si>
  <si>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</si>
  <si>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</si>
  <si>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</si>
  <si>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</si>
  <si>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</si>
  <si>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</si>
  <si>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</si>
  <si>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</si>
  <si>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</si>
  <si>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</si>
  <si>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</si>
  <si>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</si>
  <si>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</si>
  <si>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</si>
  <si>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</si>
  <si>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</si>
  <si>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</si>
  <si>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</si>
  <si>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</si>
  <si>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</si>
  <si>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</si>
  <si>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</si>
  <si>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</si>
  <si>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</si>
  <si>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</si>
  <si>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</si>
  <si>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</si>
  <si>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</si>
  <si>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</si>
  <si>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</si>
  <si>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</si>
  <si>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</si>
  <si>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</si>
  <si>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</si>
  <si>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</si>
  <si>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</si>
  <si>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</si>
  <si>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</si>
  <si>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</si>
  <si>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</si>
  <si>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</si>
  <si>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</si>
  <si>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</si>
  <si>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</si>
  <si>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</si>
  <si>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</si>
  <si>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</si>
  <si>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</si>
  <si>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</si>
  <si>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</si>
  <si>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</si>
  <si>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</si>
  <si>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</si>
  <si>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</si>
  <si>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</si>
  <si>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</si>
  <si>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</si>
  <si>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</si>
  <si>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</si>
  <si>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</si>
  <si>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</si>
  <si>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</si>
  <si>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</si>
  <si>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</si>
  <si>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</si>
  <si>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</si>
  <si>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</si>
  <si>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</si>
  <si>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</si>
  <si>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</si>
  <si>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</si>
  <si>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</si>
  <si>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</si>
  <si>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</si>
  <si>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</si>
  <si>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</si>
  <si>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</si>
  <si>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</si>
  <si>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</si>
  <si>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</si>
  <si>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</si>
  <si>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</si>
  <si>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</si>
  <si>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</si>
  <si>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</si>
  <si>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</si>
  <si>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</si>
  <si>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</si>
  <si>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</si>
  <si>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</si>
  <si>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</si>
  <si>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</si>
  <si>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</si>
  <si>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</si>
  <si>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</si>
  <si>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</si>
  <si>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</si>
  <si>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</si>
  <si>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</si>
  <si>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</si>
  <si>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</si>
  <si>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</si>
  <si>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</si>
  <si>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</si>
  <si>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</si>
  <si>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</si>
  <si>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</si>
  <si>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</si>
  <si>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</si>
  <si>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</si>
  <si>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</si>
  <si>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</si>
  <si>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</si>
  <si>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</si>
  <si>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</si>
  <si>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</si>
  <si>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</si>
  <si>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</si>
  <si>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</si>
  <si>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</si>
  <si>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</si>
  <si>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</si>
  <si>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</si>
  <si>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</si>
  <si>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</si>
  <si>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</si>
  <si>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</si>
  <si>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</si>
  <si>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</si>
  <si>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</si>
  <si>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</si>
  <si>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</si>
  <si>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</si>
  <si>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</si>
  <si>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</si>
  <si>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</si>
  <si>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</si>
  <si>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</si>
  <si>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</si>
  <si>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</si>
  <si>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</si>
  <si>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</si>
  <si>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</si>
  <si>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</si>
  <si>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</si>
  <si>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</si>
  <si>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</si>
  <si>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</si>
  <si>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</si>
  <si>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</si>
  <si>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</si>
  <si>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</si>
  <si>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</si>
  <si>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</si>
  <si>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</si>
  <si>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</si>
  <si>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</si>
  <si>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</si>
  <si>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</si>
  <si>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</si>
  <si>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</si>
  <si>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</si>
  <si>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</si>
  <si>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</si>
  <si>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</si>
  <si>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</si>
  <si>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</si>
  <si>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</si>
  <si>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</si>
  <si>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</si>
  <si>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</si>
  <si>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</si>
  <si>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</si>
  <si>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</si>
  <si>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</si>
  <si>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</si>
  <si>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</si>
  <si>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</si>
  <si>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</si>
  <si>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</si>
  <si>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</si>
  <si>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</si>
  <si>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</si>
  <si>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</si>
  <si>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</si>
  <si>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</si>
  <si>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</si>
  <si>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</si>
  <si>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</si>
  <si>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</si>
  <si>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</si>
  <si>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</si>
  <si>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</si>
  <si>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</si>
  <si>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</si>
  <si>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</si>
  <si>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</si>
  <si>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</si>
  <si>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</si>
  <si>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</si>
  <si>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</si>
  <si>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</si>
  <si>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</si>
  <si>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</si>
  <si>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</si>
  <si>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</si>
  <si>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</si>
  <si>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</si>
  <si>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</si>
  <si>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</si>
  <si>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</si>
  <si>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</si>
  <si>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</si>
  <si>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</si>
  <si>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</si>
  <si>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</si>
  <si>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</si>
  <si>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</si>
  <si>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</si>
  <si>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</si>
  <si>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</si>
  <si>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</si>
  <si>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</si>
  <si>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</si>
  <si>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</si>
  <si>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</si>
  <si>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</si>
  <si>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</si>
  <si>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</si>
  <si>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</si>
  <si>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</si>
  <si>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</si>
  <si>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</si>
  <si>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</si>
  <si>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</si>
  <si>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</si>
  <si>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</si>
  <si>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</si>
  <si>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</si>
  <si>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</si>
  <si>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</si>
  <si>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</si>
  <si>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</si>
  <si>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</si>
  <si>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</si>
  <si>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</si>
  <si>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</si>
  <si>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</si>
  <si>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</si>
  <si>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</si>
  <si>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</si>
  <si>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</si>
  <si>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</si>
  <si>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</si>
  <si>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</si>
  <si>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</si>
  <si>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</si>
  <si>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</si>
  <si>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</si>
  <si>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</si>
  <si>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</si>
  <si>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</si>
  <si>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</si>
  <si>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</si>
  <si>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</si>
  <si>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</si>
  <si>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</si>
  <si>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</si>
  <si>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</si>
  <si>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</si>
  <si>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</si>
  <si>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</si>
  <si>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</si>
  <si>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</si>
  <si>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</si>
  <si>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</si>
  <si>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</si>
  <si>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</si>
  <si>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</si>
  <si>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</si>
  <si>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</si>
  <si>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</si>
  <si>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</si>
  <si>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</si>
  <si>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</si>
  <si>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</si>
  <si>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</si>
  <si>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</si>
  <si>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</si>
  <si>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</si>
  <si>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</si>
  <si>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</si>
  <si>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</si>
  <si>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</si>
  <si>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</si>
  <si>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</si>
  <si>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</si>
  <si>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</si>
  <si>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</si>
  <si>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</si>
  <si>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</si>
  <si>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</si>
  <si>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</si>
  <si>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</si>
  <si>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</si>
  <si>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</si>
  <si>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</si>
  <si>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</si>
  <si>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</si>
  <si>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</si>
  <si>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</si>
  <si>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</si>
  <si>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</si>
  <si>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</si>
  <si>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</si>
  <si>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</si>
  <si>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</si>
  <si>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</si>
  <si>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</si>
  <si>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</si>
  <si>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</si>
  <si>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</si>
  <si>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</si>
  <si>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</si>
  <si>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</si>
  <si>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</si>
  <si>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</si>
  <si>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</si>
  <si>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</si>
  <si>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</si>
  <si>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</si>
  <si>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</si>
  <si>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</si>
  <si>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</si>
  <si>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</si>
  <si>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</si>
  <si>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</si>
  <si>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</si>
  <si>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</si>
  <si>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</si>
  <si>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</si>
  <si>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</si>
  <si>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</si>
  <si>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</si>
  <si>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</si>
  <si>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</si>
  <si>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</si>
  <si>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</si>
  <si>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</si>
  <si>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</si>
  <si>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</si>
  <si>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</si>
  <si>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</si>
  <si>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</si>
  <si>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</si>
  <si>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</si>
  <si>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</si>
  <si>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</si>
  <si>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</si>
  <si>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</si>
  <si>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</si>
  <si>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</si>
  <si>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</si>
  <si>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</si>
  <si>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</si>
  <si>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</si>
  <si>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</si>
  <si>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</si>
  <si>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</si>
  <si>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</si>
  <si>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</si>
  <si>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</si>
  <si>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</si>
  <si>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</si>
  <si>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</si>
  <si>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</si>
  <si>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</si>
  <si>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</si>
  <si>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</si>
  <si>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</si>
  <si>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</si>
  <si>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</si>
  <si>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</si>
  <si>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</si>
  <si>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</si>
  <si>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</si>
  <si>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</si>
  <si>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</si>
  <si>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</si>
  <si>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</si>
  <si>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</si>
  <si>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</si>
  <si>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</si>
  <si>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</si>
  <si>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</si>
  <si>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</si>
  <si>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</si>
  <si>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</si>
  <si>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</si>
  <si>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</si>
  <si>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</si>
  <si>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</si>
  <si>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</si>
  <si>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</si>
  <si>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</si>
  <si>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</si>
  <si>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</si>
  <si>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</si>
  <si>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</si>
  <si>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</si>
  <si>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</si>
  <si>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</si>
  <si>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</si>
  <si>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</si>
  <si>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</si>
  <si>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</si>
  <si>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</si>
  <si>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</si>
  <si>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</si>
  <si>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</si>
  <si>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</si>
  <si>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</si>
  <si>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</si>
  <si>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</si>
  <si>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</si>
  <si>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</si>
  <si>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</si>
  <si>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</si>
  <si>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</si>
  <si>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</si>
  <si>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</si>
  <si>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</si>
  <si>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</si>
  <si>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</si>
  <si>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</si>
  <si>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</si>
  <si>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</si>
  <si>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</si>
  <si>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</si>
  <si>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</si>
  <si>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</si>
  <si>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</si>
  <si>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</si>
  <si>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</si>
  <si>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</si>
  <si>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</si>
  <si>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</si>
  <si>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</si>
  <si>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</si>
  <si>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</si>
  <si>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</si>
  <si>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</si>
  <si>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</si>
  <si>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</si>
  <si>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</si>
  <si>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</si>
  <si>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</si>
  <si>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</si>
  <si>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</si>
  <si>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</si>
  <si>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</si>
  <si>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</si>
  <si>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</si>
  <si>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</si>
  <si>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</si>
  <si>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</si>
  <si>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</si>
  <si>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</si>
  <si>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</si>
  <si>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</si>
  <si>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</si>
  <si>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</si>
  <si>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</si>
  <si>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</si>
  <si>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</si>
  <si>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</si>
  <si>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</si>
  <si>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</si>
  <si>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</si>
  <si>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</si>
  <si>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</si>
  <si>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</si>
  <si>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</si>
  <si>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</si>
  <si>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</si>
  <si>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</si>
  <si>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</si>
  <si>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</si>
  <si>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</si>
  <si>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</si>
  <si>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</si>
  <si>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</si>
  <si>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</si>
  <si>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</si>
  <si>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</si>
  <si>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</si>
  <si>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</si>
  <si>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</si>
  <si>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</si>
  <si>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</si>
  <si>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</si>
  <si>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</si>
  <si>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</si>
  <si>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</si>
  <si>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</si>
  <si>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</si>
  <si>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</si>
  <si>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</si>
  <si>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</si>
  <si>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</si>
  <si>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</si>
  <si>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</si>
  <si>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</si>
  <si>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</si>
  <si>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</si>
  <si>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</si>
  <si>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</si>
  <si>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</si>
  <si>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</si>
  <si>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</si>
  <si>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</si>
  <si>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</si>
  <si>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</si>
  <si>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</si>
  <si>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</si>
  <si>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</si>
  <si>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</si>
  <si>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</si>
  <si>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</si>
  <si>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</si>
  <si>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</si>
  <si>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</si>
  <si>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</si>
  <si>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</si>
  <si>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</si>
  <si>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</si>
  <si>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</si>
  <si>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</si>
  <si>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</si>
  <si>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</si>
  <si>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</si>
  <si>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</si>
  <si>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</si>
  <si>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</si>
  <si>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</si>
  <si>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</si>
  <si>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</si>
  <si>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</si>
  <si>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</si>
  <si>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</si>
  <si>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</si>
  <si>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</si>
  <si>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</si>
  <si>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</si>
  <si>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</si>
  <si>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</si>
  <si>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</si>
  <si>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</si>
  <si>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</si>
  <si>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</si>
  <si>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</si>
  <si>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</si>
  <si>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</si>
  <si>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</si>
  <si>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</si>
  <si>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</si>
  <si>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</si>
  <si>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</si>
  <si>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</si>
  <si>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</si>
  <si>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</si>
  <si>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</si>
  <si>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</si>
  <si>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</si>
  <si>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</si>
  <si>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</si>
  <si>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</si>
  <si>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</si>
  <si>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</si>
  <si>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</si>
  <si>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</si>
  <si>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</si>
  <si>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</si>
  <si>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</si>
  <si>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</si>
  <si>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</si>
  <si>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</si>
  <si>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</si>
  <si>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</si>
  <si>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</si>
  <si>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</si>
  <si>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</si>
  <si>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</si>
  <si>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</si>
  <si>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</si>
  <si>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</si>
  <si>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</si>
  <si>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</si>
  <si>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</si>
  <si>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</si>
  <si>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</si>
  <si>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</si>
  <si>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</si>
  <si>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</si>
  <si>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</si>
  <si>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</si>
  <si>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</si>
  <si>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</si>
  <si>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</si>
  <si>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</si>
  <si>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</si>
  <si>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</si>
  <si>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</si>
  <si>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</si>
  <si>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</si>
  <si>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</si>
  <si>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</si>
  <si>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</si>
  <si>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</si>
  <si>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</si>
  <si>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</si>
  <si>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</si>
  <si>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</si>
  <si>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</si>
  <si>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</si>
  <si>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</si>
  <si>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</si>
  <si>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</si>
  <si>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</si>
  <si>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</si>
  <si>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</si>
  <si>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</si>
  <si>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</si>
  <si>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</si>
  <si>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</si>
  <si>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</si>
  <si>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</si>
  <si>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</si>
  <si>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</si>
  <si>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</si>
  <si>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</si>
  <si>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</si>
  <si>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</si>
  <si>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</si>
  <si>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</si>
  <si>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</si>
  <si>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</si>
  <si>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</si>
  <si>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</si>
  <si>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</si>
  <si>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</si>
  <si>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</si>
  <si>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</si>
  <si>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</si>
  <si>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</si>
  <si>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</si>
  <si>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</si>
  <si>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</si>
  <si>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</si>
  <si>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</si>
  <si>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</si>
  <si>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</si>
  <si>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</si>
  <si>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</si>
  <si>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</si>
  <si>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</si>
  <si>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</si>
  <si>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</si>
  <si>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</si>
  <si>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</si>
  <si>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</si>
  <si>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</si>
  <si>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</si>
  <si>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</si>
  <si>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</si>
  <si>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</si>
  <si>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</si>
  <si>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</si>
  <si>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</si>
  <si>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</si>
  <si>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</si>
  <si>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</si>
  <si>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</si>
  <si>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</si>
  <si>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</si>
  <si>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</si>
  <si>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</si>
  <si>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</si>
  <si>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</si>
  <si>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</si>
  <si>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</si>
  <si>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</si>
  <si>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</si>
  <si>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</si>
  <si>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</si>
  <si>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</si>
  <si>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</si>
  <si>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</si>
  <si>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</si>
  <si>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</si>
  <si>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</si>
  <si>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</si>
  <si>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</si>
  <si>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</si>
  <si>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</si>
  <si>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</si>
  <si>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</si>
  <si>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</si>
  <si>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</si>
  <si>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</si>
  <si>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</si>
  <si>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</si>
  <si>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</si>
  <si>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</si>
  <si>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</si>
  <si>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</si>
  <si>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</si>
  <si>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</si>
  <si>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</si>
  <si>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</si>
  <si>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</si>
  <si>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</si>
  <si>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</si>
  <si>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</si>
  <si>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</si>
  <si>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</si>
  <si>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</si>
  <si>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</si>
  <si>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</si>
  <si>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</si>
  <si>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</si>
  <si>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</si>
  <si>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</si>
  <si>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</si>
  <si>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</si>
  <si>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</si>
  <si>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</si>
  <si>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</si>
  <si>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</si>
  <si>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</si>
  <si>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</si>
  <si>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</si>
  <si>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</si>
  <si>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</si>
  <si>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</si>
  <si>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</si>
  <si>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</si>
  <si>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</si>
  <si>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</si>
  <si>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</si>
  <si>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</si>
  <si>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</si>
  <si>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</si>
  <si>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</si>
  <si>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</si>
  <si>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</si>
  <si>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</si>
  <si>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</si>
  <si>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</si>
  <si>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</si>
  <si>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</si>
  <si>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</si>
  <si>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</si>
  <si>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</si>
  <si>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</si>
  <si>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</si>
  <si>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</si>
  <si>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</si>
  <si>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</si>
  <si>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</si>
  <si>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</si>
  <si>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</si>
  <si>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</si>
  <si>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</si>
  <si>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</si>
  <si>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</si>
  <si>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</si>
  <si>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</si>
  <si>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</si>
  <si>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</si>
  <si>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</si>
  <si>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</si>
  <si>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</si>
  <si>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</si>
  <si>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</si>
  <si>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</si>
  <si>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</si>
  <si>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</si>
  <si>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</si>
  <si>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</si>
  <si>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</si>
  <si>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</si>
  <si>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</si>
  <si>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</si>
  <si>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</si>
  <si>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</si>
  <si>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</si>
  <si>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</si>
  <si>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</si>
  <si>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</si>
  <si>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</si>
  <si>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</si>
  <si>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</si>
  <si>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</si>
  <si>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</si>
  <si>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</si>
  <si>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</si>
  <si>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</si>
  <si>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</si>
  <si>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</si>
  <si>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</si>
  <si>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</si>
  <si>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</si>
  <si>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</si>
  <si>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</si>
  <si>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</si>
  <si>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</si>
  <si>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</si>
  <si>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</si>
  <si>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</si>
  <si>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</si>
  <si>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</si>
  <si>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</si>
  <si>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</si>
  <si>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</si>
  <si>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</si>
  <si>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</si>
  <si>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</si>
  <si>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</si>
  <si>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</si>
  <si>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</si>
  <si>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</si>
  <si>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</si>
  <si>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</si>
  <si>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</si>
  <si>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</si>
  <si>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</si>
  <si>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</si>
  <si>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</si>
  <si>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</si>
  <si>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</si>
  <si>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</si>
  <si>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</si>
  <si>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</si>
  <si>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</si>
  <si>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</si>
  <si>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</si>
  <si>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</si>
  <si>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</si>
  <si>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</si>
  <si>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</si>
  <si>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</si>
  <si>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</si>
  <si>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</si>
  <si>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</si>
  <si>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</si>
  <si>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</si>
  <si>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</si>
  <si>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</si>
  <si>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</si>
  <si>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</si>
  <si>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</si>
  <si>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</si>
  <si>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</si>
  <si>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</si>
  <si>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</si>
  <si>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</si>
  <si>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</si>
  <si>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</si>
  <si>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</si>
  <si>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</si>
  <si>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</si>
  <si>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</si>
  <si>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</si>
  <si>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</si>
  <si>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</si>
  <si>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</si>
  <si>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</si>
  <si>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</si>
  <si>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</si>
  <si>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</si>
  <si>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</si>
  <si>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</si>
  <si>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</si>
  <si>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</si>
  <si>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</si>
  <si>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</si>
  <si>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</si>
  <si>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</si>
  <si>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</si>
  <si>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</si>
  <si>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</si>
  <si>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</si>
  <si>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</si>
  <si>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</si>
  <si>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</si>
  <si>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</si>
  <si>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</si>
  <si>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</si>
  <si>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</si>
  <si>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</si>
  <si>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</si>
  <si>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</si>
  <si>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</si>
  <si>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</si>
  <si>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</si>
  <si>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</si>
  <si>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</si>
  <si>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</si>
  <si>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</si>
  <si>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</si>
  <si>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</si>
  <si>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</si>
  <si>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</si>
  <si>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</si>
  <si>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</si>
  <si>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</si>
  <si>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</si>
  <si>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</si>
  <si>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</si>
  <si>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</si>
  <si>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</si>
  <si>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</si>
  <si>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</si>
  <si>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</si>
  <si>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</si>
  <si>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</si>
  <si>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</si>
  <si>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</si>
  <si>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</si>
  <si>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</si>
  <si>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</si>
  <si>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</si>
  <si>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</si>
  <si>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</si>
  <si>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</si>
  <si>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</si>
  <si>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</si>
  <si>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</si>
  <si>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</si>
  <si>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</si>
  <si>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</si>
  <si>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</si>
  <si>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</si>
  <si>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</si>
  <si>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</si>
  <si>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</si>
  <si>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</si>
  <si>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</si>
  <si>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</si>
  <si>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</si>
  <si>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</si>
  <si>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</si>
  <si>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</si>
  <si>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</si>
  <si>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</si>
  <si>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</si>
  <si>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</si>
  <si>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</si>
  <si>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</si>
  <si>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</si>
  <si>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</si>
  <si>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</si>
  <si>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</si>
  <si>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</si>
  <si>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</si>
  <si>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</si>
  <si>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</si>
  <si>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</si>
  <si>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</si>
  <si>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</si>
  <si>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</si>
  <si>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</si>
  <si>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</si>
  <si>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</si>
  <si>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</si>
  <si>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</si>
  <si>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</si>
  <si>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</si>
  <si>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</si>
  <si>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</si>
  <si>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</si>
  <si>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</si>
  <si>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</si>
  <si>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</si>
  <si>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</si>
  <si>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</si>
  <si>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</si>
  <si>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</si>
  <si>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</si>
  <si>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</si>
  <si>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</si>
  <si>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</si>
  <si>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</si>
  <si>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</si>
  <si>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</si>
  <si>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</si>
  <si>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</si>
  <si>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</si>
  <si>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</si>
  <si>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</si>
  <si>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</si>
  <si>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</si>
  <si>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</si>
  <si>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</si>
  <si>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</si>
  <si>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</si>
  <si>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</si>
  <si>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</si>
  <si>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</si>
  <si>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</si>
  <si>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</si>
  <si>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</si>
  <si>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</si>
  <si>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</si>
  <si>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</si>
  <si>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</si>
  <si>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</si>
  <si>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</si>
  <si>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</si>
  <si>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</si>
  <si>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</si>
  <si>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</si>
  <si>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</si>
  <si>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</si>
  <si>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</si>
  <si>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</si>
  <si>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</si>
  <si>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</si>
  <si>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</si>
  <si>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</si>
  <si>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</si>
  <si>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</si>
  <si>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</si>
  <si>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</si>
  <si>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</si>
  <si>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</si>
  <si>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</si>
  <si>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</si>
  <si>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</si>
  <si>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</si>
  <si>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</si>
  <si>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</si>
  <si>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</si>
  <si>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</si>
  <si>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</si>
  <si>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</si>
  <si>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</si>
  <si>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</si>
  <si>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</si>
  <si>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</si>
  <si>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</si>
  <si>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</si>
  <si>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</si>
  <si>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</si>
  <si>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</si>
  <si>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</si>
  <si>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</si>
  <si>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</si>
  <si>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</si>
  <si>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</si>
  <si>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</si>
  <si>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</si>
  <si>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</si>
  <si>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</si>
  <si>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</si>
  <si>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</si>
  <si>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</si>
  <si>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</si>
  <si>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</si>
  <si>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</si>
  <si>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</si>
  <si>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</si>
  <si>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</si>
  <si>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</si>
  <si>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</si>
  <si>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</si>
  <si>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</si>
  <si>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</si>
  <si>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</si>
  <si>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</si>
  <si>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</si>
  <si>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</si>
  <si>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</si>
  <si>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</si>
  <si>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</si>
  <si>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</si>
  <si>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</si>
  <si>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</si>
  <si>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</si>
  <si>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</si>
  <si>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</si>
  <si>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</si>
  <si>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</si>
  <si>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</si>
  <si>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</si>
  <si>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</si>
  <si>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</si>
  <si>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</si>
  <si>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</si>
  <si>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</si>
  <si>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</si>
  <si>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</si>
  <si>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</si>
  <si>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</si>
  <si>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</si>
  <si>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</si>
  <si>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</si>
  <si>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</si>
  <si>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</si>
  <si>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</si>
  <si>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</si>
  <si>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</si>
  <si>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</si>
  <si>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</si>
  <si>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</si>
  <si>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</si>
  <si>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</si>
  <si>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</si>
  <si>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</si>
  <si>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</si>
  <si>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</si>
  <si>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</si>
  <si>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</si>
  <si>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</si>
  <si>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</si>
  <si>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</si>
  <si>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</si>
  <si>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</si>
  <si>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</si>
  <si>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</si>
  <si>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</si>
  <si>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</si>
  <si>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</si>
  <si>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</si>
  <si>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</si>
  <si>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</si>
  <si>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</si>
  <si>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</si>
  <si>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</si>
  <si>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</si>
  <si>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</si>
  <si>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</si>
  <si>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</si>
  <si>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</si>
  <si>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</si>
  <si>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</si>
  <si>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</si>
  <si>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</si>
  <si>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</si>
  <si>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</si>
  <si>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</si>
  <si>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</si>
  <si>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</si>
  <si>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</si>
  <si>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</si>
  <si>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</si>
  <si>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</si>
  <si>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</si>
  <si>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</si>
  <si>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</si>
  <si>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</si>
  <si>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</si>
  <si>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</si>
  <si>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</si>
  <si>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</si>
  <si>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</si>
  <si>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</si>
  <si>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</si>
  <si>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</si>
  <si>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</si>
  <si>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</si>
  <si>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</si>
  <si>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</si>
  <si>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</si>
  <si>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</si>
  <si>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</si>
  <si>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</si>
  <si>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</si>
  <si>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</si>
  <si>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</si>
  <si>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</si>
  <si>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</si>
  <si>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</si>
  <si>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</si>
  <si>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</si>
  <si>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</si>
  <si>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</si>
  <si>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</si>
  <si>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</si>
  <si>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</si>
  <si>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</si>
  <si>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</si>
  <si>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</si>
  <si>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</si>
  <si>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</si>
  <si>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</si>
  <si>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</si>
  <si>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</si>
  <si>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</si>
  <si>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</si>
  <si>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</si>
  <si>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</si>
  <si>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</si>
  <si>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</si>
  <si>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</si>
  <si>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</si>
  <si>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</si>
  <si>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</si>
  <si>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</si>
  <si>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</si>
  <si>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</si>
  <si>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</si>
  <si>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</si>
  <si>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</si>
  <si>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</si>
  <si>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</si>
  <si>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</si>
  <si>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</si>
  <si>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</si>
  <si>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</si>
  <si>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</si>
  <si>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</si>
  <si>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</si>
  <si>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</si>
  <si>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</si>
  <si>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</si>
  <si>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</si>
  <si>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</si>
  <si>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</si>
  <si>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</si>
  <si>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</si>
  <si>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</si>
  <si>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</si>
  <si>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</si>
  <si>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</si>
  <si>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</si>
  <si>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</si>
  <si>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</si>
  <si>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</si>
  <si>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</si>
  <si>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</si>
  <si>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</si>
  <si>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</si>
  <si>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</si>
  <si>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</si>
  <si>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</si>
  <si>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</si>
  <si>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</si>
  <si>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</si>
  <si>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</si>
  <si>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</si>
  <si>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</si>
  <si>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</si>
  <si>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</si>
  <si>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</si>
  <si>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</si>
  <si>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</si>
  <si>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</si>
  <si>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</si>
  <si>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</si>
  <si>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</si>
  <si>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</si>
  <si>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</si>
  <si>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</si>
  <si>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</si>
  <si>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</si>
  <si>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</si>
  <si>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</si>
  <si>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</si>
  <si>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</si>
  <si>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</si>
  <si>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</si>
  <si>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</si>
  <si>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</si>
  <si>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</si>
  <si>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</si>
  <si>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</si>
  <si>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</si>
  <si>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</si>
  <si>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</si>
  <si>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</si>
  <si>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</si>
  <si>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</si>
  <si>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</si>
  <si>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</si>
  <si>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</si>
  <si>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</si>
  <si>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</si>
  <si>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</si>
  <si>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</si>
  <si>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</si>
  <si>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</si>
  <si>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</si>
  <si>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</si>
  <si>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</si>
  <si>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</si>
  <si>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</si>
  <si>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</si>
  <si>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</si>
  <si>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</si>
  <si>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</si>
  <si>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</si>
  <si>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</si>
  <si>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</si>
  <si>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</si>
  <si>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</si>
  <si>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</si>
  <si>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</si>
  <si>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</si>
  <si>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</si>
  <si>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</si>
  <si>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</si>
  <si>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</si>
  <si>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</si>
  <si>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</si>
  <si>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</si>
  <si>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</si>
  <si>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</si>
  <si>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</si>
  <si>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</si>
  <si>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</si>
  <si>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</si>
  <si>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</si>
  <si>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</si>
  <si>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</si>
  <si>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</si>
  <si>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</si>
  <si>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</si>
  <si>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</si>
  <si>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</si>
  <si>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</si>
  <si>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</si>
  <si>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</si>
  <si>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</si>
  <si>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</si>
  <si>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</si>
  <si>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</si>
  <si>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</si>
  <si>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</si>
  <si>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</si>
  <si>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</si>
  <si>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</si>
  <si>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</si>
  <si>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</si>
  <si>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</si>
  <si>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</si>
  <si>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</si>
  <si>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</si>
  <si>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</si>
  <si>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</si>
  <si>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</si>
  <si>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</si>
  <si>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</si>
  <si>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</si>
  <si>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</si>
  <si>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</si>
  <si>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</si>
  <si>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</si>
  <si>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</si>
  <si>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</si>
  <si>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</si>
  <si>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</si>
  <si>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</si>
  <si>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</si>
  <si>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</si>
  <si>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</si>
  <si>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</si>
  <si>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</si>
  <si>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</si>
  <si>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</si>
  <si>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</si>
  <si>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</si>
  <si>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</si>
  <si>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</si>
  <si>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</si>
  <si>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</si>
  <si>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</si>
  <si>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</si>
  <si>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</si>
  <si>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</si>
  <si>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</si>
  <si>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</si>
  <si>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</si>
  <si>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</si>
  <si>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</si>
  <si>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</si>
  <si>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</si>
  <si>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</si>
  <si>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</si>
  <si>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</si>
  <si>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</si>
  <si>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</si>
  <si>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</si>
  <si>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</si>
  <si>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</si>
  <si>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</si>
  <si>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</si>
  <si>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</si>
  <si>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</si>
  <si>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</si>
  <si>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</si>
  <si>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</si>
  <si>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</si>
  <si>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</si>
  <si>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</si>
  <si>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</si>
  <si>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</si>
  <si>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</si>
  <si>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</si>
  <si>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</si>
  <si>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</si>
  <si>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</si>
  <si>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</si>
  <si>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</si>
  <si>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</si>
  <si>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</si>
  <si>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</si>
  <si>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</si>
  <si>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</si>
  <si>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</si>
  <si>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</si>
  <si>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</si>
  <si>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</si>
  <si>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</si>
  <si>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</si>
  <si>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</si>
  <si>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</si>
  <si>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</si>
  <si>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</si>
  <si>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</si>
  <si>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</si>
  <si>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</si>
  <si>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</si>
  <si>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</si>
  <si>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</si>
  <si>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</si>
  <si>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</si>
  <si>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</si>
  <si>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</si>
  <si>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</si>
  <si>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</si>
  <si>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</si>
  <si>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</si>
  <si>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</si>
  <si>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</si>
  <si>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</si>
  <si>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</si>
  <si>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</si>
  <si>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</si>
  <si>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</si>
  <si>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</si>
  <si>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</si>
  <si>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</si>
  <si>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</si>
  <si>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</si>
  <si>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</si>
  <si>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</si>
  <si>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</si>
  <si>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</si>
  <si>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</si>
  <si>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</si>
  <si>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</si>
  <si>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</si>
  <si>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</si>
  <si>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</si>
  <si>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</si>
  <si>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</si>
  <si>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</si>
  <si>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</si>
  <si>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</si>
  <si>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</si>
  <si>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</si>
  <si>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</si>
  <si>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</si>
  <si>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</si>
  <si>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</si>
  <si>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</si>
  <si>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</si>
  <si>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</si>
  <si>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</si>
  <si>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</si>
  <si>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</si>
  <si>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</si>
  <si>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</si>
  <si>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</si>
  <si>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</si>
  <si>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</si>
  <si>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</si>
  <si>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</si>
  <si>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</si>
  <si>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</si>
  <si>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</si>
  <si>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</si>
  <si>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</si>
  <si>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</si>
  <si>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</si>
  <si>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</si>
  <si>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</si>
  <si>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</si>
  <si>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</si>
  <si>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</si>
  <si>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</si>
  <si>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</si>
  <si>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</si>
  <si>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</si>
  <si>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</si>
  <si>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</si>
  <si>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</si>
  <si>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</si>
  <si>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</si>
  <si>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</si>
  <si>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</si>
  <si>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</si>
  <si>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</si>
  <si>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</si>
  <si>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</si>
  <si>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</si>
  <si>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</si>
  <si>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</si>
  <si>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</si>
  <si>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</si>
  <si>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</si>
  <si>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</si>
  <si>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</si>
  <si>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</si>
  <si>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</si>
  <si>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</si>
  <si>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</si>
  <si>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</si>
  <si>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</si>
  <si>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</si>
  <si>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</si>
  <si>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</si>
  <si>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</si>
  <si>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</si>
  <si>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</si>
  <si>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</si>
  <si>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</si>
  <si>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</si>
  <si>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</si>
  <si>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</si>
  <si>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</si>
  <si>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</si>
  <si>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</si>
  <si>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</si>
  <si>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</si>
  <si>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</si>
  <si>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</si>
  <si>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</si>
  <si>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</si>
  <si>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</si>
  <si>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</si>
  <si>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</si>
  <si>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</si>
  <si>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</si>
  <si>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</si>
  <si>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</si>
  <si>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</si>
  <si>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</si>
  <si>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</si>
  <si>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</si>
  <si>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</si>
  <si>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</si>
  <si>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</si>
  <si>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</si>
  <si>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</si>
  <si>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</si>
  <si>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</si>
  <si>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</si>
  <si>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</si>
  <si>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</si>
  <si>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</si>
  <si>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</si>
  <si>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</si>
  <si>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</si>
  <si>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</si>
  <si>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</si>
  <si>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</si>
  <si>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</si>
  <si>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</si>
  <si>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</si>
  <si>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</si>
  <si>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</si>
  <si>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</si>
  <si>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</si>
  <si>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</si>
  <si>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</si>
  <si>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</si>
  <si>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</si>
  <si>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</si>
  <si>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</si>
  <si>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</si>
  <si>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</si>
  <si>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</si>
  <si>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</si>
  <si>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</si>
  <si>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</si>
  <si>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</si>
  <si>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</si>
  <si>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</si>
  <si>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</si>
  <si>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</si>
  <si>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</si>
  <si>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</si>
  <si>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</si>
  <si>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</si>
  <si>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</si>
  <si>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</si>
  <si>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</si>
  <si>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</si>
  <si>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</si>
  <si>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</si>
  <si>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</si>
  <si>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</si>
  <si>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</si>
  <si>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</si>
  <si>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</si>
  <si>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</si>
  <si>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</si>
  <si>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</si>
  <si>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</si>
  <si>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</si>
  <si>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</si>
  <si>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</si>
  <si>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</si>
  <si>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</si>
  <si>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</si>
  <si>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</si>
  <si>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</si>
  <si>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</si>
  <si>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</si>
  <si>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</si>
  <si>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</si>
  <si>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</si>
  <si>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</si>
  <si>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</si>
  <si>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</si>
  <si>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</si>
  <si>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</si>
  <si>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</si>
  <si>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</si>
  <si>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</si>
  <si>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</si>
  <si>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</si>
  <si>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</si>
  <si>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</si>
  <si>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</si>
  <si>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</si>
  <si>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</si>
  <si>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</si>
  <si>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</si>
  <si>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</si>
  <si>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</si>
  <si>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</si>
  <si>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</si>
  <si>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</si>
  <si>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</si>
  <si>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</si>
  <si>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</si>
  <si>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</si>
  <si>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</si>
  <si>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</si>
  <si>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</si>
  <si>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</si>
  <si>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</si>
  <si>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</si>
  <si>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</si>
  <si>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</si>
  <si>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</si>
  <si>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</si>
  <si>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</si>
  <si>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</si>
  <si>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</si>
  <si>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</si>
  <si>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</si>
  <si>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</si>
  <si>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</si>
  <si>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</si>
  <si>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</si>
  <si>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</si>
  <si>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</si>
  <si>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</si>
  <si>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</si>
  <si>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</si>
  <si>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</si>
  <si>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</si>
  <si>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</si>
  <si>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</si>
  <si>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</si>
  <si>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</si>
  <si>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</si>
  <si>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</si>
  <si>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</si>
  <si>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</si>
  <si>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</si>
  <si>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</si>
  <si>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</si>
  <si>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</si>
  <si>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</si>
  <si>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</si>
  <si>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</si>
  <si>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</si>
  <si>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</si>
  <si>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</si>
  <si>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</si>
  <si>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</si>
  <si>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</si>
  <si>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</si>
  <si>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</si>
  <si>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</si>
  <si>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</si>
  <si>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</si>
  <si>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</si>
  <si>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</si>
  <si>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</si>
  <si>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</si>
  <si>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</si>
  <si>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</si>
  <si>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</si>
  <si>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</si>
  <si>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</si>
  <si>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</si>
  <si>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</si>
  <si>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</si>
  <si>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</si>
  <si>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</si>
  <si>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</si>
  <si>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</si>
  <si>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</si>
  <si>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</si>
  <si>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</si>
  <si>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</si>
  <si>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</si>
  <si>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</si>
  <si>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</si>
  <si>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</si>
  <si>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</si>
  <si>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</si>
  <si>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</si>
  <si>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</si>
  <si>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</si>
  <si>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</si>
  <si>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</si>
  <si>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</si>
  <si>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</si>
  <si>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</si>
  <si>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</si>
  <si>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</si>
  <si>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</si>
  <si>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</si>
  <si>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</si>
  <si>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</si>
  <si>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</si>
  <si>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</si>
  <si>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</si>
  <si>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</si>
  <si>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</si>
  <si>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</si>
  <si>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</si>
  <si>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</si>
  <si>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</si>
  <si>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</si>
  <si>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</si>
  <si>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</si>
  <si>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</si>
  <si>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</si>
  <si>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</si>
  <si>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</si>
  <si>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</si>
  <si>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</si>
  <si>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</si>
  <si>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</si>
  <si>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</si>
  <si>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</si>
  <si>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</si>
  <si>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</si>
  <si>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</si>
  <si>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</si>
  <si>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</si>
  <si>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</si>
  <si>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</si>
  <si>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</si>
  <si>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</si>
  <si>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</si>
  <si>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</si>
  <si>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</si>
  <si>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</si>
  <si>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</si>
  <si>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</si>
  <si>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</si>
  <si>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</si>
  <si>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</si>
  <si>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</si>
  <si>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</si>
  <si>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</si>
  <si>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</si>
  <si>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</si>
  <si>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</si>
  <si>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</si>
  <si>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</si>
  <si>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</si>
  <si>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</si>
  <si>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</si>
  <si>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</si>
  <si>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</si>
  <si>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</si>
  <si>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</si>
  <si>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</si>
  <si>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</si>
  <si>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</si>
  <si>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</si>
  <si>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</si>
  <si>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</si>
  <si>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</si>
  <si>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</si>
  <si>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</si>
  <si>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</si>
  <si>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</si>
  <si>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</si>
  <si>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</si>
  <si>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</si>
  <si>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</si>
  <si>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</si>
  <si>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</si>
  <si>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</si>
  <si>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</si>
  <si>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</si>
  <si>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</si>
  <si>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</si>
  <si>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</si>
  <si>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</si>
  <si>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</si>
  <si>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</si>
  <si>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</si>
  <si>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</si>
  <si>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</si>
  <si>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</si>
  <si>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</si>
  <si>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</si>
  <si>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</si>
  <si>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</si>
  <si>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</si>
  <si>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</si>
  <si>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</si>
  <si>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</si>
  <si>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</si>
  <si>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</si>
  <si>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</si>
  <si>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</si>
  <si>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</si>
  <si>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</si>
  <si>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</si>
  <si>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</si>
  <si>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</si>
  <si>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</si>
  <si>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</si>
  <si>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</si>
  <si>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</si>
  <si>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</si>
  <si>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</si>
  <si>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</si>
  <si>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</si>
  <si>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</si>
  <si>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</si>
  <si>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</si>
  <si>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</si>
  <si>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</si>
  <si>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</si>
  <si>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</si>
  <si>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</si>
  <si>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</si>
  <si>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</si>
  <si>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</si>
  <si>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</si>
  <si>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</si>
  <si>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</si>
  <si>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</si>
  <si>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</si>
  <si>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</si>
  <si>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</si>
  <si>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</si>
  <si>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</si>
  <si>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</si>
  <si>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</si>
  <si>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</si>
  <si>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</si>
  <si>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</si>
  <si>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</si>
  <si>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</si>
  <si>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</si>
  <si>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</si>
  <si>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</si>
  <si>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</si>
  <si>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</si>
  <si>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</si>
  <si>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</si>
  <si>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</si>
  <si>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</si>
  <si>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</si>
  <si>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</si>
  <si>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</si>
  <si>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</si>
  <si>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</si>
  <si>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</si>
  <si>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</si>
  <si>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</si>
  <si>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</si>
  <si>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</si>
  <si>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</si>
  <si>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</si>
  <si>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</si>
  <si>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</si>
  <si>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</si>
  <si>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</si>
  <si>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</si>
  <si>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</si>
  <si>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</si>
  <si>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</si>
  <si>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</si>
  <si>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</si>
  <si>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</si>
  <si>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</si>
  <si>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</si>
  <si>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</si>
  <si>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</si>
  <si>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</si>
  <si>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</si>
  <si>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</si>
  <si>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</si>
  <si>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</si>
  <si>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</si>
  <si>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</si>
  <si>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</si>
  <si>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</si>
  <si>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</si>
  <si>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</si>
  <si>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</si>
  <si>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</si>
  <si>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</si>
  <si>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</si>
  <si>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</si>
  <si>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</si>
  <si>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</si>
  <si>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</si>
  <si>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</si>
  <si>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</si>
  <si>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</si>
  <si>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</si>
  <si>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</si>
  <si>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</si>
  <si>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</si>
  <si>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</si>
  <si>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</si>
  <si>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</si>
  <si>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</si>
  <si>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</si>
  <si>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</si>
  <si>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</si>
  <si>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</si>
  <si>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</si>
  <si>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</si>
  <si>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</si>
  <si>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</si>
  <si>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</si>
  <si>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</si>
  <si>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</si>
  <si>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</si>
  <si>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</si>
  <si>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</si>
  <si>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</si>
  <si>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</si>
  <si>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</si>
  <si>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</si>
  <si>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</si>
  <si>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</si>
  <si>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</si>
  <si>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</si>
  <si>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</si>
  <si>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</si>
  <si>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</si>
  <si>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</si>
  <si>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</si>
  <si>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</si>
  <si>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</si>
  <si>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</si>
  <si>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</si>
  <si>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</si>
  <si>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</si>
  <si>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</si>
  <si>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</si>
  <si>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</si>
  <si>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</si>
  <si>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</si>
  <si>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</si>
  <si>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</si>
  <si>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</si>
  <si>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</si>
  <si>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</si>
  <si>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</si>
  <si>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</si>
  <si>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</si>
  <si>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</si>
  <si>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</si>
  <si>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</si>
  <si>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</si>
  <si>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</si>
  <si>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</si>
  <si>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</si>
  <si>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</si>
  <si>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</si>
  <si>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</si>
  <si>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</si>
  <si>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</si>
  <si>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</si>
  <si>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</si>
  <si>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</si>
  <si>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</si>
  <si>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</si>
  <si>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</si>
  <si>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</si>
  <si>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</si>
  <si>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</si>
  <si>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</si>
  <si>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</si>
  <si>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</si>
  <si>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</si>
  <si>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</si>
  <si>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</si>
  <si>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</si>
  <si>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</si>
  <si>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</si>
  <si>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</si>
  <si>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</si>
  <si>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</si>
  <si>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</si>
  <si>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</si>
  <si>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</si>
  <si>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</si>
  <si>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</si>
  <si>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</si>
  <si>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</si>
  <si>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</si>
  <si>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</si>
  <si>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</si>
  <si>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</si>
  <si>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</si>
  <si>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</si>
  <si>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</si>
  <si>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</si>
  <si>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</si>
  <si>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</si>
  <si>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</si>
  <si>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</si>
  <si>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</si>
  <si>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</si>
  <si>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</si>
  <si>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</si>
  <si>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</si>
  <si>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</si>
  <si>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</si>
  <si>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</si>
  <si>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</si>
  <si>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</si>
  <si>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</si>
  <si>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</si>
  <si>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</si>
  <si>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</si>
  <si>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</si>
  <si>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</si>
  <si>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</si>
  <si>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</si>
  <si>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</si>
  <si>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</si>
  <si>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</si>
  <si>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</si>
  <si>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</si>
  <si>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</si>
  <si>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</si>
  <si>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</si>
  <si>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</si>
  <si>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</si>
  <si>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</si>
  <si>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</si>
  <si>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</si>
  <si>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</si>
  <si>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</si>
  <si>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</si>
  <si>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</si>
  <si>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</si>
  <si>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</si>
  <si>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</si>
  <si>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</si>
  <si>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</si>
  <si>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</si>
  <si>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</si>
  <si>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</si>
  <si>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</si>
  <si>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</si>
  <si>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</si>
  <si>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</si>
  <si>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</si>
  <si>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</si>
  <si>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</si>
  <si>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</si>
  <si>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</si>
  <si>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</si>
  <si>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</si>
  <si>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</si>
  <si>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</si>
  <si>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</si>
  <si>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</si>
  <si>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</si>
  <si>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</si>
  <si>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</si>
  <si>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</si>
  <si>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</si>
  <si>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</si>
  <si>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</si>
  <si>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</si>
  <si>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</si>
  <si>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</si>
  <si>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</si>
  <si>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</si>
  <si>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</si>
  <si>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</si>
  <si>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</si>
  <si>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</si>
  <si>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</si>
  <si>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</si>
  <si>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</si>
  <si>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</si>
  <si>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</si>
  <si>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</si>
  <si>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</si>
  <si>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</si>
  <si>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</si>
  <si>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</si>
  <si>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</si>
  <si>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</si>
  <si>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</si>
  <si>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</si>
  <si>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</si>
  <si>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</si>
  <si>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</si>
  <si>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</si>
  <si>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</si>
  <si>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</si>
  <si>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</si>
  <si>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</si>
  <si>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</si>
  <si>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</si>
  <si>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</si>
  <si>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</si>
  <si>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</si>
  <si>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</si>
  <si>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</si>
  <si>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</si>
  <si>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</si>
  <si>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</si>
  <si>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</si>
  <si>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</si>
  <si>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</si>
  <si>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</si>
  <si>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</si>
  <si>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</si>
  <si>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</si>
  <si>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</si>
  <si>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</si>
  <si>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</si>
  <si>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</si>
  <si>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</si>
  <si>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</si>
  <si>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</si>
  <si>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</si>
  <si>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</si>
  <si>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</si>
  <si>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</si>
  <si>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</si>
  <si>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</si>
  <si>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</si>
  <si>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</si>
  <si>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</si>
  <si>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</si>
  <si>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</si>
  <si>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</si>
  <si>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</si>
  <si>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</si>
  <si>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</si>
  <si>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</si>
  <si>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</si>
  <si>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</si>
  <si>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</si>
  <si>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</si>
  <si>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</si>
  <si>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</si>
  <si>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</si>
  <si>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</si>
  <si>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</si>
  <si>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</si>
  <si>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</si>
  <si>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</si>
  <si>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</si>
  <si>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</si>
  <si>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</si>
  <si>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</si>
  <si>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</si>
  <si>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</si>
  <si>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</si>
  <si>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</si>
  <si>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</si>
  <si>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</si>
  <si>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</si>
  <si>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</si>
  <si>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</si>
  <si>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</si>
  <si>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</si>
  <si>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</si>
  <si>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</si>
  <si>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</si>
  <si>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</si>
  <si>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</si>
  <si>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</si>
  <si>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</si>
  <si>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</si>
  <si>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</si>
  <si>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</si>
  <si>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</si>
  <si>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</si>
  <si>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</si>
  <si>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</si>
  <si>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</si>
  <si>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</si>
  <si>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</si>
  <si>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</si>
  <si>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</si>
  <si>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</si>
  <si>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</si>
  <si>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</si>
  <si>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</si>
  <si>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</si>
  <si>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</si>
  <si>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</si>
  <si>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</si>
  <si>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</si>
  <si>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</si>
  <si>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</si>
  <si>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</si>
  <si>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</si>
  <si>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</si>
  <si>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</si>
  <si>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</si>
  <si>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</si>
  <si>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</si>
  <si>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</si>
  <si>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</si>
  <si>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</si>
  <si>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</si>
  <si>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</si>
  <si>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</si>
  <si>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</si>
  <si>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</si>
  <si>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</si>
  <si>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</si>
  <si>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</si>
  <si>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</si>
  <si>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</si>
  <si>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</si>
  <si>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</si>
  <si>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</si>
  <si>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</si>
  <si>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</si>
  <si>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</si>
  <si>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</si>
  <si>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</si>
  <si>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</si>
  <si>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</si>
  <si>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</si>
  <si>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</si>
  <si>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</si>
  <si>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</si>
  <si>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</si>
  <si>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</si>
  <si>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</si>
  <si>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</si>
  <si>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</si>
  <si>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</si>
  <si>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</si>
  <si>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</si>
  <si>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</si>
  <si>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</si>
  <si>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</si>
  <si>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</si>
  <si>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</si>
  <si>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</si>
  <si>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</si>
  <si>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</si>
  <si>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</si>
  <si>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</si>
  <si>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</si>
  <si>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</si>
  <si>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</si>
  <si>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</si>
  <si>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</si>
  <si>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</si>
  <si>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</si>
  <si>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</si>
  <si>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</si>
  <si>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</si>
  <si>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</si>
  <si>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</si>
  <si>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</si>
  <si>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</si>
  <si>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</si>
  <si>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</si>
  <si>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</si>
  <si>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</si>
  <si>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</si>
  <si>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</si>
  <si>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</si>
  <si>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</si>
  <si>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</si>
  <si>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</si>
  <si>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</si>
  <si>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</si>
  <si>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</si>
  <si>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</si>
  <si>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</si>
  <si>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</si>
  <si>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</si>
  <si>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</si>
  <si>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</si>
  <si>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</si>
  <si>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</si>
  <si>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</si>
  <si>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</si>
  <si>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</si>
  <si>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</si>
  <si>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</si>
  <si>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</si>
  <si>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</si>
  <si>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</si>
  <si>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</si>
  <si>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</si>
  <si>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</si>
  <si>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</si>
  <si>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</si>
  <si>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</si>
  <si>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</si>
  <si>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</si>
  <si>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</si>
  <si>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</si>
  <si>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</si>
  <si>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</si>
  <si>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</si>
  <si>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</si>
  <si>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</si>
  <si>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</si>
  <si>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</si>
  <si>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</si>
  <si>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</si>
  <si>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</si>
  <si>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</si>
  <si>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</si>
  <si>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</si>
  <si>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</si>
  <si>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</si>
  <si>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</si>
  <si>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</si>
  <si>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</si>
  <si>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</si>
  <si>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</si>
  <si>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</si>
  <si>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</si>
  <si>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</si>
  <si>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</si>
  <si>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</si>
  <si>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</si>
  <si>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</si>
  <si>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</si>
  <si>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</si>
  <si>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</si>
  <si>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</si>
  <si>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</si>
  <si>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</si>
  <si>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</si>
  <si>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</si>
  <si>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</si>
  <si>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</si>
  <si>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</si>
  <si>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</si>
  <si>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</si>
  <si>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</si>
  <si>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</si>
  <si>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</si>
  <si>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</si>
  <si>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</si>
  <si>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</si>
  <si>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</si>
  <si>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</si>
  <si>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</si>
  <si>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</si>
  <si>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</si>
  <si>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</si>
  <si>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</si>
  <si>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</si>
  <si>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</si>
  <si>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</si>
  <si>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</si>
  <si>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</si>
  <si>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</si>
  <si>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</si>
  <si>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</si>
  <si>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</si>
  <si>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</si>
  <si>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</si>
  <si>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</si>
  <si>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</si>
  <si>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</si>
  <si>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</si>
  <si>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</si>
  <si>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</si>
  <si>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</si>
  <si>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</si>
  <si>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</si>
  <si>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</si>
  <si>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</si>
  <si>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</si>
  <si>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</si>
  <si>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</si>
  <si>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</si>
  <si>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</si>
  <si>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</si>
  <si>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</si>
  <si>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</si>
  <si>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</si>
  <si>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</si>
  <si>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</si>
  <si>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</si>
  <si>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</si>
  <si>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</si>
  <si>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</si>
  <si>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</si>
  <si>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</si>
  <si>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</si>
  <si>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</si>
  <si>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</si>
  <si>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</si>
  <si>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</si>
  <si>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</si>
  <si>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</si>
  <si>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</si>
  <si>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</si>
  <si>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</si>
  <si>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</si>
  <si>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</si>
  <si>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</si>
  <si>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</si>
  <si>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</si>
  <si>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</si>
  <si>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</si>
  <si>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</si>
  <si>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</si>
  <si>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</si>
  <si>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</si>
  <si>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</si>
  <si>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</si>
  <si>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</si>
  <si>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</si>
  <si>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</si>
  <si>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</si>
  <si>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</si>
  <si>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</si>
  <si>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</si>
  <si>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</si>
  <si>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</si>
  <si>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</si>
  <si>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</si>
  <si>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</si>
  <si>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</si>
  <si>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</si>
  <si>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</si>
  <si>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</si>
  <si>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</si>
  <si>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</si>
  <si>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</si>
  <si>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</si>
  <si>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</si>
  <si>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</si>
  <si>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</si>
  <si>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</si>
  <si>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</si>
  <si>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</si>
  <si>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</si>
  <si>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</si>
  <si>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</si>
  <si>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</si>
  <si>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</si>
  <si>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</si>
  <si>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</si>
  <si>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</si>
  <si>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</si>
  <si>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</si>
  <si>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</si>
  <si>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</si>
  <si>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</si>
  <si>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</si>
  <si>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</si>
  <si>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</si>
  <si>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</si>
  <si>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</si>
  <si>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</si>
  <si>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</si>
  <si>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</si>
  <si>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</si>
  <si>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</si>
  <si>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</si>
  <si>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</si>
  <si>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</si>
  <si>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</si>
  <si>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</si>
  <si>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</si>
  <si>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</si>
  <si>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</si>
  <si>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</si>
  <si>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</si>
  <si>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</si>
  <si>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</si>
  <si>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</si>
  <si>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</si>
  <si>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</si>
  <si>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</si>
  <si>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</si>
  <si>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</si>
  <si>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</si>
  <si>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</si>
  <si>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</si>
  <si>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</si>
  <si>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</si>
  <si>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</si>
  <si>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</si>
  <si>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</si>
  <si>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</si>
  <si>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</si>
  <si>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</si>
  <si>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</si>
  <si>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</si>
  <si>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</si>
  <si>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</si>
  <si>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</si>
  <si>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</si>
  <si>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</si>
  <si>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</si>
  <si>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</si>
  <si>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</si>
  <si>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</si>
  <si>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</si>
  <si>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</si>
  <si>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</si>
  <si>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</si>
  <si>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</si>
  <si>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</si>
  <si>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</si>
  <si>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</si>
  <si>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</si>
  <si>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</si>
  <si>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</si>
  <si>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</si>
  <si>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</si>
  <si>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</si>
  <si>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</si>
  <si>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</si>
  <si>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</si>
  <si>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</si>
  <si>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</si>
  <si>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</si>
  <si>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</si>
  <si>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</si>
  <si>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</si>
  <si>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</si>
  <si>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</si>
  <si>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</si>
  <si>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</si>
  <si>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</si>
  <si>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</si>
  <si>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</si>
  <si>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</si>
  <si>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</si>
  <si>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</si>
  <si>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</si>
  <si>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</si>
  <si>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</si>
  <si>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</si>
  <si>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</si>
  <si>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</si>
  <si>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</si>
  <si>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</si>
  <si>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</si>
  <si>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</si>
  <si>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</si>
  <si>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</si>
  <si>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</si>
  <si>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</si>
  <si>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</si>
  <si>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</si>
  <si>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</si>
  <si>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</si>
  <si>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</si>
  <si>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</si>
  <si>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</si>
  <si>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</si>
  <si>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</si>
  <si>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</si>
  <si>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</si>
  <si>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</si>
  <si>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</si>
  <si>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</si>
  <si>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</si>
  <si>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</si>
  <si>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</si>
  <si>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</si>
  <si>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</si>
  <si>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</si>
  <si>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</si>
  <si>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</si>
  <si>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</si>
  <si>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</si>
  <si>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</si>
  <si>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</si>
  <si>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</si>
  <si>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</si>
  <si>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</si>
  <si>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</si>
  <si>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</si>
  <si>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</si>
  <si>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</si>
  <si>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</si>
  <si>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</si>
  <si>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</si>
  <si>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</si>
  <si>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</si>
  <si>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</si>
  <si>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</si>
  <si>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</si>
  <si>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</si>
  <si>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</si>
  <si>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</si>
  <si>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</si>
  <si>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</si>
  <si>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</si>
  <si>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</si>
  <si>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</si>
  <si>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</si>
  <si>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</si>
  <si>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</si>
  <si>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</si>
  <si>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</si>
  <si>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</si>
  <si>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</si>
  <si>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</si>
  <si>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</si>
  <si>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</si>
  <si>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</si>
  <si>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</si>
  <si>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</si>
  <si>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</si>
  <si>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</si>
  <si>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</si>
  <si>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</si>
  <si>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</si>
  <si>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</si>
  <si>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</si>
  <si>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</si>
  <si>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</si>
  <si>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</si>
  <si>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</si>
  <si>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</si>
  <si>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</si>
  <si>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</si>
  <si>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</si>
  <si>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</si>
  <si>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</si>
  <si>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</si>
  <si>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</si>
  <si>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</si>
  <si>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</si>
  <si>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</si>
  <si>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</si>
  <si>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</si>
  <si>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</si>
  <si>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</si>
  <si>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</si>
  <si>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</si>
  <si>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</si>
  <si>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</si>
  <si>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</si>
  <si>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</si>
  <si>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</si>
  <si>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</si>
  <si>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</si>
  <si>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</si>
  <si>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</si>
  <si>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</si>
  <si>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</si>
  <si>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</si>
  <si>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</si>
  <si>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</si>
  <si>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</si>
  <si>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</si>
  <si>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</si>
  <si>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</si>
  <si>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</si>
  <si>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</si>
  <si>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</si>
  <si>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</si>
  <si>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</si>
  <si>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</si>
  <si>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</si>
  <si>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</si>
  <si>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</si>
  <si>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</si>
  <si>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</si>
  <si>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</si>
  <si>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</si>
  <si>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</si>
  <si>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</si>
  <si>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</si>
  <si>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</si>
  <si>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</si>
  <si>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</si>
  <si>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</si>
  <si>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</si>
  <si>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</si>
  <si>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</si>
  <si>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</si>
  <si>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</si>
  <si>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</si>
  <si>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</si>
  <si>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</si>
  <si>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</si>
  <si>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</si>
  <si>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</si>
  <si>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</si>
  <si>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</si>
  <si>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</si>
  <si>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</si>
  <si>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</si>
  <si>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</si>
  <si>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</si>
  <si>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</si>
  <si>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</si>
  <si>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</si>
  <si>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</si>
  <si>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</si>
  <si>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</si>
  <si>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</si>
  <si>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</si>
  <si>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</si>
  <si>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</si>
  <si>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</si>
  <si>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</si>
  <si>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</si>
  <si>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</si>
  <si>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</si>
  <si>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</si>
  <si>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</si>
  <si>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</si>
  <si>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</si>
  <si>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</si>
  <si>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</si>
  <si>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</si>
  <si>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</si>
  <si>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</si>
  <si>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</si>
  <si>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</si>
  <si>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</si>
  <si>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</si>
  <si>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</si>
  <si>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</si>
  <si>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</si>
  <si>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</si>
  <si>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</si>
  <si>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</si>
  <si>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</si>
  <si>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</si>
  <si>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</si>
  <si>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</si>
  <si>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</si>
  <si>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</si>
  <si>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</si>
  <si>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</si>
  <si>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</si>
  <si>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</si>
  <si>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</si>
  <si>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</si>
  <si>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</si>
  <si>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</si>
  <si>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</si>
  <si>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</si>
  <si>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</si>
  <si>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</si>
  <si>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</si>
  <si>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</si>
  <si>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</si>
  <si>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</si>
  <si>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</si>
  <si>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</si>
  <si>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</si>
  <si>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</si>
  <si>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</si>
  <si>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</si>
  <si>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</si>
  <si>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</si>
  <si>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</si>
  <si>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</si>
  <si>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</si>
  <si>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</si>
  <si>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</si>
  <si>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</si>
  <si>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</si>
  <si>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</si>
  <si>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</si>
  <si>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</si>
  <si>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</si>
  <si>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</si>
  <si>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</si>
  <si>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</si>
  <si>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</si>
  <si>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</si>
  <si>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</si>
  <si>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</si>
  <si>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</si>
  <si>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</si>
  <si>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</si>
  <si>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</si>
  <si>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</si>
  <si>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</si>
  <si>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</si>
  <si>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</si>
  <si>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</si>
  <si>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</si>
  <si>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</si>
  <si>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</si>
  <si>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</si>
  <si>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</si>
  <si>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</si>
  <si>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</si>
  <si>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</si>
  <si>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</si>
  <si>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</si>
  <si>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</si>
  <si>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</si>
  <si>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</si>
  <si>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</si>
  <si>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</si>
  <si>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</si>
  <si>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</si>
  <si>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</si>
  <si>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</si>
  <si>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</si>
  <si>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</si>
  <si>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</si>
  <si>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</si>
  <si>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</si>
  <si>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</si>
  <si>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</si>
  <si>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</si>
  <si>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</si>
  <si>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</si>
  <si>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</si>
  <si>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</si>
  <si>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</si>
  <si>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</si>
  <si>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</si>
  <si>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</si>
  <si>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</si>
  <si>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</si>
  <si>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</si>
  <si>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</si>
  <si>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</si>
  <si>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</si>
  <si>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</si>
  <si>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</si>
  <si>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</si>
  <si>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</si>
  <si>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</si>
  <si>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</si>
  <si>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</si>
  <si>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</si>
  <si>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</si>
  <si>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</si>
  <si>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</si>
  <si>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</si>
  <si>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</si>
  <si>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</si>
  <si>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</si>
  <si>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</si>
  <si>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</si>
  <si>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</si>
  <si>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</si>
  <si>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</si>
  <si>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</si>
  <si>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</si>
  <si>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</si>
  <si>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</si>
  <si>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</si>
  <si>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</si>
  <si>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</si>
  <si>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</si>
  <si>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</si>
  <si>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</si>
  <si>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</si>
  <si>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</si>
  <si>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</si>
  <si>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</si>
  <si>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</si>
  <si>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</si>
  <si>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</si>
  <si>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</si>
  <si>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</si>
  <si>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</si>
  <si>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</si>
  <si>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</si>
  <si>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</si>
  <si>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</si>
  <si>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</si>
  <si>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</si>
  <si>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</si>
  <si>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</si>
  <si>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</si>
  <si>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</si>
  <si>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</si>
  <si>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</si>
  <si>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</si>
  <si>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</si>
  <si>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</si>
  <si>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</si>
  <si>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</si>
  <si>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</si>
  <si>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</si>
  <si>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</si>
  <si>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</si>
  <si>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</si>
  <si>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</si>
  <si>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</si>
  <si>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</si>
  <si>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</si>
  <si>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</si>
  <si>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</si>
  <si>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</si>
  <si>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</si>
  <si>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</si>
  <si>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</si>
  <si>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</si>
  <si>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</si>
  <si>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</si>
  <si>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</si>
  <si>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</si>
  <si>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</si>
  <si>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</si>
  <si>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</si>
  <si>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</si>
  <si>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</si>
  <si>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</si>
  <si>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</si>
  <si>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</si>
  <si>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</si>
  <si>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</si>
  <si>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</si>
  <si>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</si>
  <si>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</si>
  <si>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</si>
  <si>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</si>
  <si>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</si>
  <si>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</si>
  <si>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</si>
  <si>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</si>
  <si>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</si>
  <si>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</si>
  <si>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</si>
  <si>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</si>
  <si>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</si>
  <si>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</si>
  <si>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</si>
  <si>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</si>
  <si>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</si>
  <si>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</si>
  <si>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</si>
  <si>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</si>
  <si>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</si>
  <si>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</si>
  <si>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</si>
  <si>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</si>
  <si>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</si>
  <si>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</si>
  <si>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</si>
  <si>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</si>
  <si>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</si>
  <si>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</si>
  <si>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</si>
  <si>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</si>
  <si>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</si>
  <si>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</si>
  <si>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</si>
  <si>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</si>
  <si>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</si>
  <si>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</si>
  <si>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</si>
  <si>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</si>
  <si>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</si>
  <si>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</si>
  <si>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</si>
  <si>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</si>
  <si>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</si>
  <si>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</si>
  <si>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</si>
  <si>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</si>
  <si>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</si>
  <si>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</si>
  <si>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</si>
  <si>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</si>
  <si>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</si>
  <si>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</si>
  <si>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</si>
  <si>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</si>
  <si>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</si>
  <si>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</si>
  <si>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</si>
  <si>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</si>
  <si>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</si>
  <si>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</si>
  <si>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</si>
  <si>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</si>
  <si>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</si>
  <si>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</si>
  <si>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</si>
  <si>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</si>
  <si>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</si>
  <si>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</si>
  <si>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</si>
  <si>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</si>
  <si>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</si>
  <si>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</si>
  <si>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</si>
  <si>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</si>
  <si>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</si>
  <si>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</si>
  <si>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</si>
  <si>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</si>
  <si>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</si>
  <si>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</si>
  <si>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</si>
  <si>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</si>
  <si>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</si>
  <si>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</si>
  <si>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</si>
  <si>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</si>
  <si>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</si>
  <si>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</si>
  <si>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</si>
  <si>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</si>
  <si>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</si>
  <si>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</si>
  <si>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</si>
  <si>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</si>
  <si>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</si>
  <si>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</si>
  <si>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</si>
  <si>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</si>
  <si>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</si>
  <si>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</si>
  <si>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</si>
  <si>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</si>
  <si>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</si>
  <si>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</si>
  <si>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</si>
  <si>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</si>
  <si>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</si>
  <si>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</si>
  <si>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</si>
  <si>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</si>
  <si>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</si>
  <si>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</si>
  <si>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</si>
  <si>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</si>
  <si>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</si>
  <si>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</si>
  <si>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</si>
  <si>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</si>
  <si>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</si>
  <si>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</si>
  <si>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</si>
  <si>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</si>
  <si>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</si>
  <si>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</si>
  <si>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</si>
  <si>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</si>
  <si>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</si>
  <si>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</si>
  <si>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</si>
  <si>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</si>
  <si>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</si>
  <si>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</si>
  <si>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</si>
  <si>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</si>
  <si>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</si>
  <si>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</si>
  <si>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</si>
  <si>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</si>
  <si>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</si>
  <si>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</si>
  <si>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</si>
  <si>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</si>
  <si>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</si>
  <si>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</si>
  <si>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</si>
  <si>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</si>
  <si>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</si>
  <si>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</si>
  <si>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</si>
  <si>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</si>
  <si>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</si>
  <si>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</si>
  <si>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</si>
  <si>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</si>
  <si>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</si>
  <si>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</si>
  <si>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</si>
  <si>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</si>
  <si>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</si>
  <si>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</si>
  <si>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</si>
  <si>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</si>
  <si>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</si>
  <si>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</si>
  <si>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</si>
  <si>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</si>
  <si>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</si>
  <si>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</si>
  <si>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</si>
  <si>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</si>
  <si>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</si>
  <si>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</si>
  <si>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</si>
  <si>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</si>
  <si>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</si>
  <si>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</si>
  <si>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</si>
  <si>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</si>
  <si>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</si>
  <si>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</si>
  <si>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</si>
  <si>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</si>
  <si>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</si>
  <si>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</si>
  <si>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</si>
  <si>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</si>
  <si>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</si>
  <si>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</si>
  <si>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</si>
  <si>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</si>
  <si>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</si>
  <si>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</si>
  <si>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</si>
  <si>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</si>
  <si>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</si>
  <si>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</si>
  <si>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</si>
  <si>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</si>
  <si>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</si>
  <si>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</si>
  <si>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</si>
  <si>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</si>
  <si>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</si>
  <si>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</si>
  <si>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</si>
  <si>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</si>
  <si>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</si>
  <si>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</si>
  <si>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</si>
  <si>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</si>
  <si>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</si>
  <si>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</si>
  <si>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</si>
  <si>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</si>
  <si>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</si>
  <si>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</si>
  <si>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</si>
  <si>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</si>
  <si>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</si>
  <si>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</si>
  <si>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</si>
  <si>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</si>
  <si>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</si>
  <si>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</si>
  <si>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</si>
  <si>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</si>
  <si>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</si>
  <si>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</si>
  <si>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</si>
  <si>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</si>
  <si>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</si>
  <si>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</si>
  <si>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</si>
  <si>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</si>
  <si>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</si>
  <si>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</si>
  <si>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</si>
  <si>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</si>
  <si>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</si>
  <si>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</si>
  <si>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</si>
  <si>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</si>
  <si>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</si>
  <si>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</si>
  <si>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</si>
  <si>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</si>
  <si>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</si>
  <si>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</si>
  <si>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</si>
  <si>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</si>
  <si>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</si>
  <si>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</si>
  <si>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</si>
  <si>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</si>
  <si>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</si>
  <si>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</si>
  <si>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</si>
  <si>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</si>
  <si>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</si>
  <si>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</si>
  <si>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</si>
  <si>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</si>
  <si>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</si>
  <si>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</si>
  <si>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</si>
  <si>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</si>
  <si>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</si>
  <si>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</si>
  <si>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</si>
  <si>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</si>
  <si>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</si>
  <si>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</si>
  <si>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</si>
  <si>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</si>
  <si>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</si>
  <si>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</si>
  <si>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</si>
  <si>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</si>
  <si>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</si>
  <si>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</si>
  <si>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</si>
  <si>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</si>
  <si>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</si>
  <si>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</si>
  <si>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</si>
  <si>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</si>
  <si>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</si>
  <si>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</si>
  <si>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</si>
  <si>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</si>
  <si>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</si>
  <si>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</si>
  <si>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</si>
  <si>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</si>
  <si>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</si>
  <si>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</si>
  <si>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</si>
  <si>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</si>
  <si>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</si>
  <si>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</si>
  <si>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</si>
  <si>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</si>
  <si>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</si>
  <si>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</si>
  <si>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</si>
  <si>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</si>
  <si>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</si>
  <si>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</si>
  <si>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</si>
  <si>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</si>
  <si>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</si>
  <si>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</si>
  <si>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</si>
  <si>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</si>
  <si>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</si>
  <si>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</si>
  <si>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</si>
  <si>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</si>
  <si>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</si>
  <si>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</si>
  <si>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</si>
  <si>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</si>
  <si>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</si>
  <si>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</si>
  <si>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</si>
  <si>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</si>
  <si>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</si>
  <si>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</si>
  <si>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</si>
  <si>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</si>
  <si>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</si>
  <si>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</si>
  <si>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</si>
  <si>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</si>
  <si>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</si>
  <si>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</si>
  <si>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</si>
  <si>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</si>
  <si>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</si>
  <si>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</si>
  <si>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</si>
  <si>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</si>
  <si>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</si>
  <si>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</si>
  <si>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</si>
  <si>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</si>
  <si>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</si>
  <si>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</si>
  <si>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</si>
  <si>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</si>
  <si>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</si>
  <si>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</si>
  <si>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</si>
  <si>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</si>
  <si>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</si>
  <si>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</si>
  <si>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</si>
  <si>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</si>
  <si>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</si>
  <si>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</si>
  <si>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</si>
  <si>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</si>
  <si>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</si>
  <si>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</si>
  <si>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</si>
  <si>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</si>
  <si>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</si>
  <si>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</si>
  <si>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</si>
  <si>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</si>
  <si>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</si>
  <si>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</si>
  <si>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</si>
  <si>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</si>
  <si>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</si>
  <si>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</si>
  <si>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</si>
  <si>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</si>
  <si>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</si>
  <si>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</si>
  <si>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</si>
  <si>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</si>
  <si>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</si>
  <si>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</si>
  <si>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</si>
  <si>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</si>
  <si>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</si>
  <si>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</si>
  <si>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</si>
  <si>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</si>
  <si>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</si>
  <si>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</si>
  <si>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</si>
  <si>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</si>
  <si>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</si>
  <si>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</si>
  <si>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</si>
  <si>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</si>
  <si>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</si>
  <si>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</si>
  <si>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</si>
  <si>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</si>
  <si>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</si>
  <si>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</si>
  <si>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</si>
  <si>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</si>
  <si>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</si>
  <si>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</si>
  <si>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</si>
  <si>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</si>
  <si>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</si>
  <si>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</si>
  <si>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</si>
  <si>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</si>
  <si>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</si>
  <si>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</si>
  <si>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</si>
  <si>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</si>
  <si>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</si>
  <si>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</si>
  <si>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</si>
  <si>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</si>
  <si>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</si>
  <si>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</si>
  <si>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</si>
  <si>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</si>
  <si>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</si>
  <si>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</si>
  <si>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</si>
  <si>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</si>
  <si>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</si>
  <si>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</si>
  <si>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</si>
  <si>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</si>
  <si>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</si>
  <si>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</si>
  <si>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</si>
  <si>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</si>
  <si>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</si>
  <si>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</si>
  <si>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</si>
  <si>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</si>
  <si>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</si>
  <si>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</si>
  <si>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</si>
  <si>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</si>
  <si>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</si>
  <si>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</si>
  <si>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</si>
  <si>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</si>
  <si>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</si>
  <si>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</si>
  <si>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</si>
  <si>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</si>
  <si>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</si>
  <si>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</si>
  <si>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</si>
  <si>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</si>
  <si>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</si>
  <si>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</si>
  <si>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</si>
  <si>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</si>
  <si>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</si>
  <si>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</si>
  <si>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</si>
  <si>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</si>
  <si>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</si>
  <si>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</si>
  <si>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</si>
  <si>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</si>
  <si>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</si>
  <si>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</si>
  <si>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</si>
  <si>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</si>
  <si>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</si>
  <si>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</si>
  <si>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</si>
  <si>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</si>
  <si>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</si>
  <si>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</si>
  <si>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</si>
  <si>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</si>
  <si>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</si>
  <si>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</si>
  <si>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</si>
  <si>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</si>
  <si>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</si>
  <si>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</si>
  <si>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</si>
  <si>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</si>
  <si>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</si>
  <si>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</si>
  <si>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</si>
  <si>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</si>
  <si>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</si>
  <si>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</si>
  <si>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</si>
  <si>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</si>
  <si>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</si>
  <si>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</si>
  <si>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</si>
  <si>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</si>
  <si>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</si>
  <si>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</si>
  <si>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</si>
  <si>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</si>
  <si>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</si>
  <si>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</si>
  <si>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</si>
  <si>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</si>
  <si>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</si>
  <si>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</si>
  <si>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</si>
  <si>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</si>
  <si>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</si>
  <si>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</si>
  <si>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</si>
  <si>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</si>
  <si>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</si>
  <si>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</si>
  <si>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</si>
  <si>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</si>
  <si>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</si>
  <si>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</si>
  <si>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</si>
  <si>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</si>
  <si>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</si>
  <si>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</si>
  <si>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</si>
  <si>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</si>
  <si>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</si>
  <si>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</si>
  <si>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</si>
  <si>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</si>
  <si>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</si>
  <si>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</si>
  <si>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</si>
  <si>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</si>
  <si>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</si>
  <si>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</si>
  <si>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</si>
  <si>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</si>
  <si>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</si>
  <si>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</si>
  <si>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</si>
  <si>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</si>
  <si>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</si>
  <si>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</si>
  <si>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</si>
  <si>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</si>
  <si>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</si>
  <si>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</si>
  <si>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</si>
  <si>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</si>
  <si>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</si>
  <si>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</si>
  <si>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</si>
  <si>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</si>
  <si>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</si>
  <si>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</si>
  <si>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</si>
  <si>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</si>
  <si>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</si>
  <si>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</si>
  <si>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</si>
  <si>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</si>
  <si>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</si>
  <si>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</si>
  <si>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</si>
  <si>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</si>
  <si>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</si>
  <si>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</si>
  <si>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</si>
  <si>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</si>
  <si>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</si>
  <si>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</si>
  <si>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</si>
  <si>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</si>
  <si>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</si>
  <si>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</si>
  <si>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</si>
  <si>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</si>
  <si>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</si>
  <si>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</si>
  <si>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</si>
  <si>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</si>
  <si>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</si>
  <si>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</si>
  <si>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</si>
  <si>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</si>
  <si>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</si>
  <si>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</si>
  <si>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</si>
  <si>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</si>
  <si>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</si>
  <si>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</si>
  <si>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</si>
  <si>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</si>
  <si>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</si>
  <si>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</si>
  <si>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</si>
  <si>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</si>
  <si>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</si>
  <si>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</si>
  <si>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</si>
  <si>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</si>
  <si>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</si>
  <si>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</si>
  <si>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</si>
  <si>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</si>
  <si>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</si>
  <si>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</si>
  <si>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</si>
  <si>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</si>
  <si>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</si>
  <si>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</si>
  <si>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</si>
  <si>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</si>
  <si>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</si>
  <si>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</si>
  <si>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</si>
  <si>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</si>
  <si>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</si>
  <si>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</si>
  <si>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</si>
  <si>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</si>
  <si>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</si>
  <si>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</si>
  <si>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</si>
  <si>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</si>
  <si>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</si>
  <si>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</si>
  <si>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</si>
  <si>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</si>
  <si>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</si>
  <si>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</si>
  <si>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</si>
  <si>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</si>
  <si>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</si>
  <si>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</si>
  <si>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</si>
  <si>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</si>
  <si>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</si>
  <si>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</si>
  <si>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</si>
  <si>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</si>
  <si>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</si>
  <si>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</si>
  <si>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</si>
  <si>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</si>
  <si>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</si>
  <si>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</si>
  <si>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</si>
  <si>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</si>
  <si>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</si>
  <si>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</si>
  <si>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</si>
  <si>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</si>
  <si>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</si>
  <si>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</si>
  <si>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</si>
  <si>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</si>
  <si>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</si>
  <si>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</si>
  <si>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</si>
  <si>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</si>
  <si>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</si>
  <si>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</si>
  <si>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</si>
  <si>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</si>
  <si>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</si>
  <si>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</si>
  <si>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</si>
  <si>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</si>
  <si>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</si>
  <si>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</si>
  <si>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</si>
  <si>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</si>
  <si>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</si>
  <si>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</si>
  <si>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</si>
  <si>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</si>
  <si>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</si>
  <si>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</si>
  <si>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</si>
  <si>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</si>
  <si>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</si>
  <si>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</si>
  <si>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</si>
  <si>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</si>
  <si>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</si>
  <si>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</si>
  <si>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</si>
  <si>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</si>
  <si>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</si>
  <si>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</si>
  <si>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</si>
  <si>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</si>
  <si>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</si>
  <si>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</si>
  <si>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</si>
  <si>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</si>
  <si>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</si>
  <si>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</si>
  <si>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</si>
  <si>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</si>
  <si>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</si>
  <si>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</si>
  <si>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</si>
  <si>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</si>
  <si>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</si>
  <si>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</si>
  <si>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</si>
  <si>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</si>
  <si>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</si>
  <si>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</si>
  <si>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</si>
  <si>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</si>
  <si>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</si>
  <si>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</si>
  <si>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</si>
  <si>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</si>
  <si>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</si>
  <si>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</si>
  <si>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</si>
  <si>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</si>
  <si>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</si>
  <si>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</si>
  <si>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</si>
  <si>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</si>
  <si>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</si>
  <si>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</si>
  <si>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</si>
  <si>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</si>
  <si>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</si>
  <si>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</si>
  <si>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</si>
  <si>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</si>
  <si>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</si>
  <si>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</si>
  <si>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</si>
  <si>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</si>
  <si>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</si>
  <si>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</si>
  <si>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</si>
  <si>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</si>
  <si>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</si>
  <si>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</si>
  <si>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</si>
  <si>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</si>
  <si>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</si>
  <si>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</si>
  <si>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</si>
  <si>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</si>
  <si>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</si>
  <si>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</si>
  <si>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</si>
  <si>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</si>
  <si>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</si>
  <si>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</si>
  <si>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</si>
  <si>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</si>
  <si>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</si>
  <si>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</si>
  <si>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</si>
  <si>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</si>
  <si>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</si>
  <si>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</si>
  <si>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</si>
  <si>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</si>
  <si>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</si>
  <si>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</si>
  <si>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</si>
  <si>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</si>
  <si>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</si>
  <si>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</si>
  <si>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</si>
  <si>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</si>
  <si>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</si>
  <si>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</si>
  <si>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</si>
  <si>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</si>
  <si>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</si>
  <si>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</si>
  <si>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</si>
  <si>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</si>
  <si>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</si>
  <si>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</si>
  <si>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</si>
  <si>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</si>
  <si>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</si>
  <si>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</si>
  <si>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</si>
  <si>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</si>
  <si>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</si>
  <si>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</si>
  <si>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</si>
  <si>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</si>
  <si>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</si>
  <si>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</si>
  <si>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</si>
  <si>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</si>
  <si>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</si>
  <si>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</si>
  <si>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</si>
  <si>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</si>
  <si>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</si>
  <si>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</si>
  <si>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</si>
  <si>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</si>
  <si>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</si>
  <si>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</si>
  <si>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</si>
  <si>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</si>
  <si>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</si>
  <si>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</si>
  <si>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</si>
  <si>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</si>
  <si>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</si>
  <si>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</si>
  <si>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</si>
  <si>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</si>
  <si>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</si>
  <si>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</si>
  <si>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</si>
  <si>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</si>
  <si>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</si>
  <si>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</si>
  <si>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</si>
  <si>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</si>
  <si>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</si>
  <si>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</si>
  <si>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</si>
  <si>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</si>
  <si>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</si>
  <si>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</si>
  <si>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</si>
  <si>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</si>
  <si>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</si>
  <si>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</si>
  <si>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</si>
  <si>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</si>
  <si>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</si>
  <si>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</si>
  <si>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</si>
  <si>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</si>
  <si>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</si>
  <si>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</si>
  <si>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</si>
  <si>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</si>
  <si>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</si>
  <si>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</si>
  <si>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</si>
  <si>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</si>
  <si>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</si>
  <si>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</si>
  <si>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</si>
  <si>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</si>
  <si>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</si>
  <si>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</si>
  <si>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</si>
  <si>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</si>
  <si>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</si>
  <si>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</si>
  <si>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</si>
  <si>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</si>
  <si>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</si>
  <si>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</si>
  <si>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</si>
  <si>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</si>
  <si>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</si>
  <si>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</si>
  <si>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</si>
  <si>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</si>
  <si>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</si>
  <si>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</si>
  <si>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</si>
  <si>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</si>
  <si>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</si>
  <si>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</si>
  <si>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</si>
  <si>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</si>
  <si>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</si>
  <si>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</si>
  <si>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</si>
  <si>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</si>
  <si>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</si>
  <si>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</si>
  <si>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</si>
  <si>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</si>
  <si>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</si>
  <si>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</si>
  <si>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</si>
  <si>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</si>
  <si>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</si>
  <si>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</si>
  <si>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</si>
  <si>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</si>
  <si>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</si>
  <si>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</si>
  <si>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</si>
  <si>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</si>
  <si>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</si>
  <si>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</si>
  <si>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</si>
  <si>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</si>
  <si>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</si>
  <si>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</si>
  <si>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</si>
  <si>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</si>
  <si>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</si>
  <si>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</si>
  <si>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</si>
  <si>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</si>
  <si>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</si>
  <si>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</si>
  <si>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</si>
  <si>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</si>
  <si>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</si>
  <si>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</si>
  <si>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</si>
  <si>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</si>
  <si>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</si>
  <si>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</si>
  <si>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</si>
  <si>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</si>
  <si>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</si>
  <si>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</si>
  <si>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</si>
  <si>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</si>
  <si>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</si>
  <si>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</si>
  <si>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</si>
  <si>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</si>
  <si>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</si>
  <si>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</si>
  <si>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</si>
  <si>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</si>
  <si>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</si>
  <si>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</si>
  <si>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</si>
  <si>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</si>
  <si>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</si>
  <si>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</si>
  <si>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</si>
  <si>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</si>
  <si>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</si>
  <si>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</si>
  <si>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</si>
  <si>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</si>
  <si>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</si>
  <si>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</si>
  <si>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</si>
  <si>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</si>
  <si>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</si>
  <si>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</si>
  <si>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</si>
  <si>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</si>
  <si>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</si>
  <si>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</si>
  <si>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</si>
  <si>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</si>
  <si>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</si>
  <si>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</si>
  <si>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</si>
  <si>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</si>
  <si>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</si>
  <si>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</si>
  <si>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</si>
  <si>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</si>
  <si>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</si>
  <si>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</si>
  <si>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</si>
  <si>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</si>
  <si>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</si>
  <si>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</si>
  <si>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</si>
  <si>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</si>
  <si>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</si>
  <si>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</si>
  <si>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</si>
  <si>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</si>
  <si>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</si>
  <si>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</si>
  <si>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</si>
  <si>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</si>
  <si>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</si>
  <si>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</si>
  <si>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</si>
  <si>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</si>
  <si>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</si>
  <si>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</si>
  <si>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</si>
  <si>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</si>
  <si>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</si>
  <si>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</si>
  <si>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</si>
  <si>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</si>
  <si>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</si>
  <si>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</si>
  <si>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</si>
  <si>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</si>
  <si>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</si>
  <si>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</si>
  <si>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</si>
  <si>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</si>
  <si>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</si>
  <si>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</si>
  <si>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</si>
  <si>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</si>
  <si>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</si>
  <si>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</si>
  <si>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</si>
  <si>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</si>
  <si>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</si>
  <si>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</si>
  <si>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</si>
  <si>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</si>
  <si>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</si>
  <si>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</si>
  <si>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</si>
  <si>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</si>
  <si>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</si>
  <si>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</si>
  <si>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</si>
  <si>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</si>
  <si>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</si>
  <si>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</si>
  <si>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</si>
  <si>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</si>
  <si>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</si>
  <si>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</si>
  <si>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</si>
  <si>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</si>
  <si>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</si>
  <si>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</si>
  <si>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</si>
  <si>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</si>
  <si>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</si>
  <si>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</si>
  <si>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</si>
  <si>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</si>
  <si>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</si>
  <si>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</si>
  <si>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</si>
  <si>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</si>
  <si>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</si>
  <si>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</si>
  <si>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</si>
  <si>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</si>
  <si>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</si>
  <si>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</si>
  <si>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</si>
  <si>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</si>
  <si>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</si>
  <si>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</si>
  <si>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</si>
  <si>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</si>
  <si>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</si>
  <si>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</si>
  <si>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</si>
  <si>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</si>
  <si>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</si>
  <si>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</si>
  <si>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</si>
  <si>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</si>
  <si>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</si>
  <si>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</si>
  <si>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</si>
  <si>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</si>
  <si>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</si>
  <si>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</si>
  <si>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</si>
  <si>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</si>
  <si>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</si>
  <si>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</si>
  <si>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</si>
  <si>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</si>
  <si>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</si>
  <si>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</si>
  <si>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</si>
  <si>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</si>
  <si>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</si>
  <si>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</si>
  <si>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</si>
  <si>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</si>
  <si>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</si>
  <si>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</si>
  <si>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</si>
  <si>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</si>
  <si>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</si>
  <si>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</si>
  <si>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</si>
  <si>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</si>
  <si>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</si>
  <si>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</si>
  <si>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</si>
  <si>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</si>
  <si>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</si>
  <si>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</si>
  <si>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</si>
  <si>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</si>
  <si>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</si>
  <si>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</si>
  <si>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</si>
  <si>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</si>
  <si>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</si>
  <si>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</si>
  <si>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</si>
  <si>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</si>
  <si>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</si>
  <si>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</si>
  <si>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</si>
  <si>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</si>
  <si>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</si>
  <si>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</si>
  <si>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</si>
  <si>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</si>
  <si>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</si>
  <si>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</si>
  <si>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</si>
  <si>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</si>
  <si>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</si>
  <si>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</si>
  <si>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</si>
  <si>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</si>
  <si>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</si>
  <si>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</si>
  <si>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</si>
  <si>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</si>
  <si>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</si>
  <si>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</si>
  <si>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</si>
  <si>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</si>
  <si>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</si>
  <si>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</si>
  <si>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</si>
  <si>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</si>
  <si>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</si>
  <si>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</si>
  <si>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</si>
  <si>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</si>
  <si>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</si>
  <si>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</si>
  <si>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</si>
  <si>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</si>
  <si>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</si>
  <si>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</si>
  <si>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</si>
  <si>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</si>
  <si>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</si>
  <si>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</si>
  <si>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</si>
  <si>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</si>
  <si>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</si>
  <si>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</si>
  <si>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</si>
  <si>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</si>
  <si>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</si>
  <si>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</si>
  <si>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</si>
  <si>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</si>
  <si>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</si>
  <si>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</si>
  <si>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</si>
  <si>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</si>
  <si>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</si>
  <si>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</si>
  <si>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</si>
  <si>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</si>
  <si>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</si>
  <si>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</si>
  <si>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</si>
  <si>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</si>
  <si>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</si>
  <si>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</si>
  <si>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</si>
  <si>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</si>
  <si>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</si>
  <si>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</si>
  <si>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</si>
  <si>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</si>
  <si>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</si>
  <si>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</si>
  <si>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</si>
  <si>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</si>
  <si>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</si>
  <si>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</si>
  <si>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</si>
  <si>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</si>
  <si>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</si>
  <si>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</si>
  <si>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</si>
  <si>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</si>
  <si>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</si>
  <si>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</si>
  <si>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</si>
  <si>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</si>
  <si>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</si>
  <si>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</si>
  <si>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</si>
  <si>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</si>
  <si>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</si>
  <si>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</si>
  <si>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</si>
  <si>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</si>
  <si>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</si>
  <si>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</si>
  <si>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</si>
  <si>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</si>
  <si>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</si>
  <si>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</si>
  <si>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</si>
  <si>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</si>
  <si>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</si>
  <si>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</si>
  <si>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</si>
  <si>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</si>
  <si>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</si>
  <si>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</si>
  <si>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</si>
  <si>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</si>
  <si>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</si>
  <si>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</si>
  <si>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</si>
  <si>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</si>
  <si>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</si>
  <si>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</si>
  <si>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</si>
  <si>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</si>
  <si>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</si>
  <si>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</si>
  <si>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</si>
  <si>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</si>
  <si>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</si>
  <si>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</si>
  <si>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</si>
  <si>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</si>
  <si>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</si>
  <si>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</si>
  <si>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</si>
  <si>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</si>
  <si>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</si>
  <si>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</si>
  <si>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</si>
  <si>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</si>
  <si>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</si>
  <si>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</si>
  <si>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</si>
  <si>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</si>
  <si>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</si>
  <si>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</si>
  <si>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</si>
  <si>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</si>
  <si>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</si>
  <si>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</si>
  <si>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</si>
  <si>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</si>
  <si>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</si>
  <si>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</si>
  <si>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</si>
  <si>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</si>
  <si>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</si>
  <si>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</si>
  <si>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</si>
  <si>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</si>
  <si>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</si>
  <si>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</si>
  <si>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</si>
  <si>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</si>
  <si>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</si>
  <si>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</si>
  <si>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</si>
  <si>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</si>
  <si>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</si>
  <si>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</si>
  <si>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</si>
  <si>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</si>
  <si>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</si>
  <si>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</si>
  <si>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</si>
  <si>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</si>
  <si>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</si>
  <si>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</si>
  <si>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</si>
  <si>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</si>
  <si>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</si>
  <si>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</si>
  <si>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</si>
  <si>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</si>
  <si>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</si>
  <si>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</si>
  <si>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</si>
  <si>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</si>
  <si>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</si>
  <si>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</si>
  <si>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</si>
  <si>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</si>
  <si>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</si>
  <si>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</si>
  <si>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</si>
  <si>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</si>
  <si>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</si>
  <si>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</si>
  <si>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</si>
  <si>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</si>
  <si>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</si>
  <si>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</si>
  <si>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</si>
  <si>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</si>
  <si>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</si>
  <si>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</si>
  <si>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</si>
  <si>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</si>
  <si>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</si>
  <si>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</si>
  <si>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</si>
  <si>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</si>
  <si>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</si>
  <si>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</si>
  <si>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</si>
  <si>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</si>
  <si>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</si>
  <si>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</si>
  <si>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</si>
  <si>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</si>
  <si>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</si>
  <si>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</si>
  <si>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</si>
  <si>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</si>
  <si>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</si>
  <si>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</si>
  <si>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</si>
  <si>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</si>
  <si>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</si>
  <si>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</si>
  <si>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</si>
  <si>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</si>
  <si>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</si>
  <si>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</si>
  <si>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</si>
  <si>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</si>
  <si>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</si>
  <si>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</si>
  <si>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</si>
  <si>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</si>
  <si>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</si>
  <si>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</si>
  <si>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</si>
  <si>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</si>
  <si>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</si>
  <si>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</si>
  <si>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</si>
  <si>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</si>
  <si>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</si>
  <si>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</si>
  <si>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</si>
  <si>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</si>
  <si>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</si>
  <si>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</si>
  <si>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</si>
  <si>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</si>
  <si>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</si>
  <si>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</si>
  <si>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</si>
  <si>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</si>
  <si>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</si>
  <si>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</si>
  <si>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</si>
  <si>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</si>
  <si>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</si>
  <si>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</si>
  <si>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</si>
  <si>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</si>
  <si>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</si>
  <si>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</si>
  <si>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</si>
  <si>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</si>
  <si>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</si>
  <si>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</si>
  <si>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</si>
  <si>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</si>
  <si>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</si>
  <si>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</si>
  <si>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</si>
  <si>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</si>
  <si>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</si>
  <si>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</si>
  <si>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</si>
  <si>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</si>
  <si>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</si>
  <si>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</si>
  <si>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</si>
  <si>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</si>
  <si>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</si>
  <si>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</si>
  <si>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</si>
  <si>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</si>
  <si>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</si>
  <si>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</si>
  <si>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</si>
  <si>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</si>
  <si>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</si>
  <si>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</si>
  <si>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</si>
  <si>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</si>
  <si>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</si>
  <si>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</si>
  <si>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</si>
  <si>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</si>
  <si>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</si>
  <si>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</si>
  <si>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</si>
  <si>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</si>
  <si>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</si>
  <si>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</si>
  <si>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</si>
  <si>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</si>
  <si>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</si>
  <si>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</si>
  <si>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</si>
  <si>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</si>
  <si>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</si>
  <si>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</si>
  <si>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</si>
  <si>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</si>
  <si>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</si>
  <si>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</si>
  <si>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</si>
  <si>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</si>
  <si>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</si>
  <si>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</si>
  <si>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</si>
  <si>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</si>
  <si>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</si>
  <si>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</si>
  <si>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</si>
  <si>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</si>
  <si>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</si>
  <si>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</si>
  <si>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</si>
  <si>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</si>
  <si>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</si>
  <si>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</si>
  <si>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</si>
  <si>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</si>
  <si>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</si>
  <si>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</si>
  <si>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</si>
  <si>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</si>
  <si>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</si>
  <si>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</si>
  <si>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</si>
  <si>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</si>
  <si>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</si>
  <si>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</si>
  <si>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</si>
  <si>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</si>
  <si>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</si>
  <si>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</si>
  <si>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</si>
  <si>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</si>
  <si>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</si>
  <si>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</si>
  <si>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</si>
  <si>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</si>
  <si>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</si>
  <si>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</si>
  <si>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</si>
  <si>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</si>
  <si>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</si>
  <si>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</si>
  <si>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</si>
  <si>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</si>
  <si>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</si>
  <si>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</si>
  <si>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</si>
  <si>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</si>
  <si>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</si>
  <si>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</si>
  <si>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</si>
  <si>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</si>
  <si>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</si>
  <si>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</si>
  <si>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</si>
  <si>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</si>
  <si>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</si>
  <si>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</si>
  <si>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</si>
  <si>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</si>
  <si>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</si>
  <si>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</si>
  <si>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</si>
  <si>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</si>
  <si>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</si>
  <si>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</si>
  <si>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</si>
  <si>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</si>
  <si>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</si>
  <si>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</si>
  <si>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</si>
  <si>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</si>
  <si>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</si>
  <si>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</si>
  <si>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</si>
  <si>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</si>
  <si>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</si>
  <si>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</si>
  <si>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</si>
  <si>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</si>
  <si>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</si>
  <si>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</si>
  <si>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</si>
  <si>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</si>
  <si>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</si>
  <si>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</si>
  <si>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</si>
  <si>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</si>
  <si>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</si>
  <si>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</si>
  <si>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</si>
  <si>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</si>
  <si>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</si>
  <si>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</si>
  <si>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</si>
  <si>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</si>
  <si>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</si>
  <si>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</si>
  <si>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</si>
  <si>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</si>
  <si>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</si>
  <si>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</si>
  <si>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</si>
  <si>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</si>
  <si>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</si>
  <si>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</si>
  <si>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</si>
  <si>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</si>
  <si>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</si>
  <si>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</si>
  <si>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</si>
  <si>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</si>
  <si>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</si>
  <si>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</si>
  <si>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</si>
  <si>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</si>
  <si>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</si>
  <si>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</si>
  <si>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</si>
  <si>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</si>
  <si>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</si>
  <si>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</si>
  <si>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</si>
  <si>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</si>
  <si>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</si>
  <si>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</si>
  <si>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</si>
  <si>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</si>
  <si>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</si>
  <si>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</si>
  <si>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</si>
  <si>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</si>
  <si>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</si>
  <si>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</si>
  <si>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</si>
  <si>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</si>
  <si>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</si>
  <si>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</si>
  <si>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</si>
  <si>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</si>
  <si>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</si>
  <si>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</si>
  <si>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</si>
  <si>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</si>
  <si>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</si>
  <si>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</si>
  <si>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</si>
  <si>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</si>
  <si>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</si>
  <si>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</si>
  <si>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</si>
  <si>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</si>
  <si>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</si>
  <si>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</si>
  <si>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</si>
  <si>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</si>
  <si>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</si>
  <si>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</si>
  <si>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</si>
  <si>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</si>
  <si>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</si>
  <si>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</si>
  <si>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</si>
  <si>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</si>
  <si>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</si>
  <si>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</si>
  <si>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</si>
  <si>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</si>
  <si>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</si>
  <si>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</si>
  <si>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</si>
  <si>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</si>
  <si>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</si>
  <si>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</si>
  <si>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</si>
  <si>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</si>
  <si>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</si>
  <si>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</si>
  <si>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</si>
  <si>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</si>
  <si>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</si>
  <si>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</si>
  <si>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</si>
  <si>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</si>
  <si>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</si>
  <si>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</si>
  <si>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</si>
  <si>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</si>
  <si>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</si>
  <si>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</si>
  <si>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</si>
  <si>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</si>
  <si>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</si>
  <si>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</si>
  <si>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</si>
  <si>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</si>
  <si>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</si>
  <si>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</si>
  <si>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</si>
  <si>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</si>
  <si>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</si>
  <si>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</si>
  <si>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</si>
  <si>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</si>
  <si>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</si>
  <si>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</si>
  <si>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</si>
  <si>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</si>
  <si>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</si>
  <si>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</si>
  <si>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</si>
  <si>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</si>
  <si>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</si>
  <si>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</si>
  <si>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</si>
  <si>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</si>
  <si>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</si>
  <si>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</si>
  <si>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</si>
  <si>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</si>
  <si>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</si>
  <si>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</si>
  <si>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</si>
  <si>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</si>
  <si>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</si>
  <si>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</si>
  <si>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</si>
  <si>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</si>
  <si>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</si>
  <si>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</si>
  <si>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</si>
  <si>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</si>
  <si>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</si>
  <si>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</si>
  <si>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</si>
  <si>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</si>
  <si>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</si>
  <si>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</si>
  <si>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</si>
  <si>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</si>
  <si>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</si>
  <si>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</si>
  <si>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</si>
  <si>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</si>
  <si>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</si>
  <si>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</si>
  <si>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</si>
  <si>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</si>
  <si>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</si>
  <si>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</si>
  <si>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</si>
  <si>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</si>
  <si>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</si>
  <si>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</si>
  <si>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</si>
  <si>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</si>
  <si>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</si>
  <si>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</si>
  <si>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</si>
  <si>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</si>
  <si>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</si>
  <si>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</si>
  <si>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</si>
  <si>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</si>
  <si>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</si>
  <si>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</si>
  <si>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</si>
  <si>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</si>
  <si>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</si>
  <si>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</si>
  <si>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</si>
  <si>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</si>
  <si>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</si>
  <si>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</si>
  <si>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</si>
  <si>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</si>
  <si>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</si>
  <si>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</si>
  <si>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</si>
  <si>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</si>
  <si>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</si>
  <si>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</si>
  <si>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</si>
  <si>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</si>
  <si>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</si>
  <si>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</si>
  <si>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</si>
  <si>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</si>
  <si>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</si>
  <si>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</si>
  <si>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</si>
  <si>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</si>
  <si>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</si>
  <si>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</si>
  <si>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</si>
  <si>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</si>
  <si>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</si>
  <si>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</si>
  <si>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</si>
  <si>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</si>
  <si>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</si>
  <si>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</si>
  <si>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</si>
  <si>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</si>
  <si>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</si>
  <si>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</si>
  <si>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</si>
  <si>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</si>
  <si>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</si>
  <si>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</si>
  <si>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</si>
  <si>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</si>
  <si>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</si>
  <si>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</si>
  <si>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</si>
  <si>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</si>
  <si>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</si>
  <si>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</si>
  <si>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</si>
  <si>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</si>
  <si>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</si>
  <si>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</si>
  <si>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</si>
  <si>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</si>
  <si>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</si>
  <si>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</si>
  <si>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</si>
  <si>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</si>
  <si>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</si>
  <si>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</si>
  <si>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</si>
  <si>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</si>
  <si>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</si>
  <si>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</si>
  <si>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</si>
  <si>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</si>
  <si>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</si>
  <si>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</si>
  <si>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</si>
  <si>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</si>
  <si>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</si>
  <si>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</si>
  <si>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</si>
  <si>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</si>
  <si>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</si>
  <si>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</si>
  <si>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</si>
  <si>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</si>
  <si>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</si>
  <si>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</si>
  <si>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</si>
  <si>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</si>
  <si>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</si>
  <si>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</si>
  <si>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</si>
  <si>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</si>
  <si>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</si>
  <si>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</si>
  <si>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</si>
  <si>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</si>
  <si>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</si>
  <si>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</si>
  <si>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</si>
  <si>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</si>
  <si>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</si>
  <si>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</si>
  <si>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</si>
  <si>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</si>
  <si>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</si>
  <si>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</si>
  <si>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</si>
  <si>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</si>
  <si>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</si>
  <si>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</si>
  <si>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</si>
  <si>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</si>
  <si>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</si>
  <si>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</si>
  <si>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</si>
  <si>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</si>
  <si>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</si>
  <si>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</si>
  <si>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</si>
  <si>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</si>
  <si>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</si>
  <si>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</si>
  <si>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</si>
  <si>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</si>
  <si>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</si>
  <si>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</si>
  <si>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</si>
  <si>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</si>
  <si>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</si>
  <si>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</si>
  <si>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</si>
  <si>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</si>
  <si>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</si>
  <si>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</si>
  <si>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</si>
  <si>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</si>
  <si>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</si>
  <si>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</si>
  <si>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</si>
  <si>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</si>
  <si>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</si>
  <si>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</si>
  <si>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</si>
  <si>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</si>
  <si>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</si>
  <si>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</si>
  <si>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</si>
  <si>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</si>
  <si>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</si>
  <si>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</si>
  <si>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</si>
  <si>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</si>
  <si>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</si>
  <si>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</si>
  <si>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</si>
  <si>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</si>
  <si>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</si>
  <si>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</si>
  <si>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</si>
  <si>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</si>
  <si>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</si>
  <si>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</si>
  <si>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</si>
  <si>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</si>
  <si>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</si>
  <si>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</si>
  <si>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</si>
  <si>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</si>
  <si>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</si>
  <si>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</si>
  <si>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</si>
  <si>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</si>
  <si>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</si>
  <si>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</si>
  <si>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</si>
  <si>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</si>
  <si>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</si>
  <si>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</si>
  <si>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</si>
  <si>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</si>
  <si>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</si>
  <si>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</si>
  <si>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</si>
  <si>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</si>
  <si>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</si>
  <si>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</si>
  <si>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</si>
  <si>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</si>
  <si>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</si>
  <si>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</si>
  <si>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</si>
  <si>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</si>
  <si>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</si>
  <si>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</si>
  <si>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</si>
  <si>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</si>
  <si>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</si>
  <si>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</si>
  <si>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</si>
  <si>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</si>
  <si>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</si>
  <si>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</si>
  <si>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</si>
  <si>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</si>
  <si>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</si>
  <si>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</si>
  <si>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</si>
  <si>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</si>
  <si>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</si>
  <si>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</si>
  <si>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</si>
  <si>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</si>
  <si>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</si>
  <si>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</si>
  <si>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</si>
  <si>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</si>
  <si>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</si>
  <si>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</si>
  <si>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</si>
  <si>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</si>
  <si>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</si>
  <si>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</si>
  <si>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</si>
  <si>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</si>
  <si>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</si>
  <si>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</si>
  <si>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</si>
  <si>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</si>
  <si>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</si>
  <si>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</si>
  <si>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</si>
  <si>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</si>
  <si>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</si>
  <si>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</si>
  <si>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</si>
  <si>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</si>
  <si>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</si>
  <si>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</si>
  <si>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</si>
  <si>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</si>
  <si>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</si>
  <si>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</si>
  <si>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</si>
  <si>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</si>
  <si>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</si>
  <si>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</si>
  <si>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</si>
  <si>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</si>
  <si>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</si>
  <si>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</si>
  <si>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</si>
  <si>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</si>
  <si>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</si>
  <si>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</si>
  <si>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</si>
  <si>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</si>
  <si>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</si>
  <si>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</si>
  <si>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</si>
  <si>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</si>
  <si>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</si>
  <si>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</si>
  <si>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</si>
  <si>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</si>
  <si>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</si>
  <si>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</si>
  <si>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</si>
  <si>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</si>
  <si>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</si>
  <si>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</si>
  <si>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</si>
  <si>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</si>
  <si>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</si>
  <si>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</si>
  <si>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</si>
  <si>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</si>
  <si>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</si>
  <si>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</si>
  <si>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</si>
  <si>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</si>
  <si>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</si>
  <si>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</si>
  <si>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</si>
  <si>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</si>
  <si>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</si>
  <si>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</si>
  <si>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</si>
  <si>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</si>
  <si>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</si>
  <si>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</si>
  <si>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</si>
  <si>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</si>
  <si>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</si>
  <si>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</si>
  <si>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</si>
  <si>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</si>
  <si>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</si>
  <si>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</si>
  <si>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</si>
  <si>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</si>
  <si>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</si>
  <si>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</si>
  <si>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</si>
  <si>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</si>
  <si>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</si>
  <si>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</si>
  <si>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</si>
  <si>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</si>
  <si>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</si>
  <si>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</si>
  <si>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</si>
  <si>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</si>
  <si>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</si>
  <si>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</si>
  <si>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</si>
  <si>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</si>
  <si>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</si>
  <si>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</si>
  <si>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</si>
  <si>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</si>
  <si>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</si>
  <si>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</si>
  <si>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</si>
  <si>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</si>
  <si>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</si>
  <si>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</si>
  <si>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</si>
  <si>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</si>
  <si>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</si>
  <si>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</si>
  <si>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</si>
  <si>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</si>
  <si>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</si>
  <si>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</si>
  <si>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</si>
  <si>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</si>
  <si>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</si>
  <si>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</si>
  <si>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</si>
  <si>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</si>
  <si>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</si>
  <si>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</si>
  <si>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</si>
  <si>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</si>
  <si>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</si>
  <si>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</si>
  <si>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</si>
  <si>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</si>
  <si>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</si>
  <si>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</si>
  <si>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</si>
  <si>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</si>
  <si>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</si>
  <si>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</si>
  <si>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</si>
  <si>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</si>
  <si>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</si>
  <si>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</si>
  <si>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</si>
  <si>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</si>
  <si>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</si>
  <si>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</si>
  <si>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</si>
  <si>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</si>
  <si>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</si>
  <si>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</si>
  <si>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</si>
  <si>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</si>
  <si>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</si>
  <si>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</si>
  <si>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</si>
  <si>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</si>
  <si>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</si>
  <si>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</si>
  <si>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</si>
  <si>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</si>
  <si>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</si>
  <si>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</si>
  <si>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</si>
  <si>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</si>
  <si>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</si>
  <si>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</si>
  <si>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</si>
  <si>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</si>
  <si>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</si>
  <si>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</si>
  <si>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</si>
  <si>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</si>
  <si>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</si>
  <si>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</si>
  <si>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</si>
  <si>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</si>
  <si>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</si>
  <si>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</si>
  <si>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</si>
  <si>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</si>
  <si>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</si>
  <si>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</si>
  <si>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</si>
  <si>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</si>
  <si>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</si>
  <si>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</si>
  <si>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</si>
  <si>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</si>
  <si>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</si>
  <si>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</si>
  <si>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</si>
  <si>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</si>
  <si>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</si>
  <si>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</si>
  <si>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</si>
  <si>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</si>
  <si>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</si>
  <si>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</si>
  <si>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</si>
  <si>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</si>
  <si>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</si>
  <si>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</si>
  <si>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</si>
  <si>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</si>
  <si>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</si>
  <si>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</si>
  <si>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</si>
  <si>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</si>
  <si>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</si>
  <si>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</si>
  <si>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</si>
  <si>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</si>
  <si>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</si>
  <si>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</si>
  <si>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</si>
  <si>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</si>
  <si>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</si>
  <si>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</si>
  <si>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</si>
  <si>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</si>
  <si>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</si>
  <si>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</si>
  <si>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</si>
  <si>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</si>
  <si>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</si>
  <si>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</si>
  <si>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</si>
  <si>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</si>
  <si>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</si>
  <si>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</si>
  <si>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</si>
  <si>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</si>
  <si>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</si>
  <si>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</si>
  <si>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</si>
  <si>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</si>
  <si>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</si>
  <si>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</si>
  <si>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</si>
  <si>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</si>
  <si>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</si>
  <si>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</si>
  <si>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</si>
  <si>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</si>
  <si>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</si>
  <si>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</si>
  <si>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</si>
  <si>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</si>
  <si>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</si>
  <si>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</si>
  <si>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</si>
  <si>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</si>
  <si>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</si>
  <si>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</si>
  <si>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</si>
  <si>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</si>
  <si>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</si>
  <si>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</si>
  <si>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</si>
  <si>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</si>
  <si>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</si>
  <si>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</si>
  <si>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</si>
  <si>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</si>
  <si>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</si>
  <si>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</si>
  <si>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</si>
  <si>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</si>
  <si>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</si>
  <si>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</si>
  <si>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</si>
  <si>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</si>
  <si>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</si>
  <si>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</si>
  <si>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</si>
  <si>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</si>
  <si>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</si>
  <si>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</si>
  <si>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</si>
  <si>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</si>
  <si>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</si>
  <si>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</si>
  <si>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</si>
  <si>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</si>
  <si>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</si>
  <si>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</si>
  <si>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</si>
  <si>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</si>
  <si>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</si>
  <si>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</si>
  <si>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</si>
  <si>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</si>
  <si>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</si>
  <si>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</si>
  <si>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</si>
  <si>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</si>
  <si>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</si>
  <si>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</si>
  <si>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</si>
  <si>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</si>
  <si>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</si>
  <si>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</si>
  <si>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</si>
  <si>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</si>
  <si>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</si>
  <si>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</si>
  <si>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</si>
  <si>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</si>
  <si>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</si>
  <si>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</si>
  <si>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</si>
  <si>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</si>
  <si>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</si>
  <si>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</si>
  <si>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</si>
  <si>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</si>
  <si>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</si>
  <si>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</si>
  <si>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</si>
  <si>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</si>
  <si>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</si>
  <si>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</si>
  <si>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</si>
  <si>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</si>
  <si>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</si>
  <si>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</si>
  <si>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</si>
  <si>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</si>
  <si>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</si>
  <si>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</si>
  <si>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</si>
  <si>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</si>
  <si>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</si>
  <si>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</si>
  <si>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</si>
  <si>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</si>
  <si>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</si>
  <si>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</si>
  <si>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</si>
  <si>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</si>
  <si>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</si>
  <si>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</si>
  <si>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</si>
  <si>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</si>
  <si>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</si>
  <si>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</si>
  <si>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</si>
  <si>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</si>
  <si>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</si>
  <si>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</si>
  <si>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</si>
  <si>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</si>
  <si>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</si>
  <si>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</si>
  <si>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</si>
  <si>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</si>
  <si>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</si>
  <si>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</si>
  <si>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</si>
  <si>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</si>
  <si>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</si>
  <si>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</si>
  <si>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</si>
  <si>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</si>
  <si>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</si>
  <si>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</si>
  <si>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</si>
  <si>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</si>
  <si>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</si>
  <si>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</si>
  <si>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</si>
  <si>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</si>
  <si>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</si>
  <si>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</si>
  <si>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</si>
  <si>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</si>
  <si>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</si>
  <si>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</si>
  <si>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</si>
  <si>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</si>
  <si>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</si>
  <si>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</si>
  <si>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</si>
  <si>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</si>
  <si>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</si>
  <si>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</si>
  <si>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</si>
  <si>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</si>
  <si>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</si>
  <si>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</si>
  <si>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</si>
  <si>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</si>
  <si>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</si>
  <si>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</si>
  <si>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</si>
  <si>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</si>
  <si>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</si>
  <si>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</si>
  <si>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</si>
  <si>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</si>
  <si>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</si>
  <si>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</si>
  <si>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</si>
  <si>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</si>
  <si>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</si>
  <si>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</si>
  <si>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</si>
  <si>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</si>
  <si>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</si>
  <si>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</si>
  <si>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</si>
  <si>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</si>
  <si>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</si>
  <si>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</si>
  <si>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</si>
  <si>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</si>
  <si>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</si>
  <si>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</si>
  <si>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</si>
  <si>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</si>
  <si>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</si>
  <si>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</si>
  <si>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</si>
  <si>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</si>
  <si>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</si>
  <si>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</si>
  <si>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</si>
  <si>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</si>
  <si>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</si>
  <si>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</si>
  <si>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</si>
  <si>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</si>
  <si>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</si>
  <si>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</si>
  <si>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</si>
  <si>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</si>
  <si>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</si>
  <si>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</si>
  <si>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</si>
  <si>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</si>
  <si>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</si>
  <si>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</si>
  <si>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</si>
  <si>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</si>
  <si>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</si>
  <si>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</si>
  <si>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</si>
  <si>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</si>
  <si>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</si>
  <si>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</si>
  <si>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</si>
  <si>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</si>
  <si>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</si>
  <si>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</si>
  <si>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</si>
  <si>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</si>
  <si>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</si>
  <si>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</si>
  <si>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</si>
  <si>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</si>
  <si>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</si>
  <si>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</si>
  <si>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</si>
  <si>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</si>
  <si>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</si>
  <si>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</si>
  <si>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</si>
  <si>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</si>
  <si>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</si>
  <si>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</si>
  <si>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</si>
  <si>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</si>
  <si>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</si>
  <si>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</si>
  <si>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</si>
  <si>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</si>
  <si>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</si>
  <si>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</si>
  <si>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</si>
  <si>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</si>
  <si>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</si>
  <si>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</si>
  <si>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</si>
  <si>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</si>
  <si>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</si>
  <si>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</si>
  <si>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</si>
  <si>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</si>
  <si>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</si>
  <si>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</si>
  <si>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</si>
  <si>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</si>
  <si>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</si>
  <si>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</si>
  <si>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</si>
  <si>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</si>
  <si>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</si>
  <si>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</si>
  <si>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</si>
  <si>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</si>
  <si>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</si>
  <si>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</si>
  <si>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</si>
  <si>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</si>
  <si>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</si>
  <si>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</si>
  <si>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</si>
  <si>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</si>
  <si>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</si>
  <si>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</si>
  <si>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</si>
  <si>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</si>
  <si>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</si>
  <si>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</si>
  <si>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</si>
  <si>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</si>
  <si>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</si>
  <si>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</si>
  <si>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</si>
  <si>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</si>
  <si>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</si>
  <si>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</si>
  <si>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</si>
  <si>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</si>
  <si>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</si>
  <si>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</si>
  <si>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</si>
  <si>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</si>
  <si>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</si>
  <si>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</si>
  <si>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</si>
  <si>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</si>
  <si>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</si>
  <si>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</si>
  <si>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</si>
  <si>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</si>
  <si>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</si>
  <si>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</si>
  <si>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</si>
  <si>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</si>
  <si>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</si>
  <si>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</si>
  <si>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</si>
  <si>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</si>
  <si>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</si>
  <si>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</si>
  <si>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</si>
  <si>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</si>
  <si>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</si>
  <si>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</si>
  <si>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</si>
  <si>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</si>
  <si>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</si>
  <si>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</si>
  <si>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</si>
  <si>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</si>
  <si>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</si>
  <si>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</si>
  <si>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</si>
  <si>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</si>
  <si>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</si>
  <si>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</si>
  <si>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</si>
  <si>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</si>
  <si>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</si>
  <si>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</si>
  <si>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</si>
  <si>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</si>
  <si>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</si>
  <si>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</si>
  <si>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</si>
  <si>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</si>
  <si>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</si>
  <si>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</si>
  <si>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</si>
  <si>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</si>
  <si>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</si>
  <si>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</si>
  <si>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</si>
  <si>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</si>
  <si>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</si>
  <si>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</si>
  <si>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</si>
  <si>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</si>
  <si>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</si>
  <si>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</si>
  <si>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</si>
  <si>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</si>
  <si>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</si>
  <si>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</si>
  <si>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</si>
  <si>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</si>
  <si>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</si>
  <si>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</si>
  <si>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</si>
  <si>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</si>
  <si>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</si>
  <si>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</si>
  <si>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</si>
  <si>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</si>
  <si>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</si>
  <si>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</si>
  <si>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</si>
  <si>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</si>
  <si>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</si>
  <si>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</si>
  <si>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</si>
  <si>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</si>
  <si>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</si>
  <si>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</si>
  <si>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</si>
  <si>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</si>
  <si>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</si>
  <si>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</si>
  <si>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</si>
  <si>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</si>
  <si>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</si>
  <si>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</si>
  <si>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</si>
  <si>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</si>
  <si>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</si>
  <si>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</si>
  <si>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</si>
  <si>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</si>
  <si>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</si>
  <si>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</si>
  <si>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</si>
  <si>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</si>
  <si>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</si>
  <si>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</si>
  <si>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</si>
  <si>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</si>
  <si>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</si>
  <si>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</si>
  <si>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</si>
  <si>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</si>
  <si>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</si>
  <si>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</si>
  <si>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</si>
  <si>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</si>
  <si>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</si>
  <si>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</si>
  <si>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</si>
  <si>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</si>
  <si>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</si>
  <si>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</si>
  <si>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</si>
  <si>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</si>
  <si>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</si>
  <si>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</si>
  <si>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</si>
  <si>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</si>
  <si>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</si>
  <si>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</si>
  <si>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</si>
  <si>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</si>
  <si>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</si>
  <si>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</si>
  <si>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</si>
  <si>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</si>
  <si>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</si>
  <si>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</si>
  <si>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</si>
  <si>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</si>
  <si>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</si>
  <si>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</si>
  <si>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</si>
  <si>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</si>
  <si>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</si>
  <si>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</si>
  <si>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</si>
  <si>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</si>
  <si>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</si>
  <si>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</si>
  <si>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</si>
  <si>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</si>
  <si>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</si>
  <si>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</si>
  <si>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</si>
  <si>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</si>
  <si>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</si>
  <si>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</si>
  <si>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</si>
  <si>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</si>
  <si>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</si>
  <si>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</si>
  <si>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</si>
  <si>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</si>
  <si>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</si>
  <si>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</si>
  <si>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</si>
  <si>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</si>
  <si>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</si>
  <si>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</si>
  <si>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</si>
  <si>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</si>
  <si>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</si>
  <si>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</si>
  <si>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</si>
  <si>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</si>
  <si>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</si>
  <si>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</si>
  <si>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</si>
  <si>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</si>
  <si>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</si>
  <si>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</si>
  <si>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</si>
  <si>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</si>
  <si>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</si>
  <si>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</si>
  <si>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</si>
  <si>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</si>
  <si>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</si>
  <si>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</si>
  <si>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</si>
  <si>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</si>
  <si>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</si>
  <si>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</si>
  <si>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</si>
  <si>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</si>
  <si>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</si>
  <si>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</si>
  <si>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</si>
  <si>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</si>
  <si>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</si>
  <si>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</si>
  <si>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</si>
  <si>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</si>
  <si>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</si>
  <si>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</si>
  <si>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</si>
  <si>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</si>
  <si>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</si>
  <si>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</si>
  <si>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</si>
  <si>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</si>
  <si>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</si>
  <si>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</si>
  <si>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</si>
  <si>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</si>
  <si>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</si>
  <si>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</si>
  <si>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</si>
  <si>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</si>
  <si>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</si>
  <si>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</si>
  <si>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</si>
  <si>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</si>
  <si>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</si>
  <si>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</si>
  <si>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</si>
  <si>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</si>
  <si>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</si>
  <si>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</si>
  <si>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</si>
  <si>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</si>
  <si>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</si>
  <si>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</si>
  <si>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</si>
  <si>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</si>
  <si>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</si>
  <si>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</si>
  <si>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</si>
  <si>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</si>
  <si>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</si>
  <si>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</si>
  <si>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</si>
  <si>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</si>
  <si>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</si>
  <si>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</si>
  <si>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</si>
  <si>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</si>
  <si>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</si>
  <si>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</si>
  <si>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</si>
  <si>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</si>
  <si>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</si>
  <si>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</si>
  <si>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</si>
  <si>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</si>
  <si>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</si>
  <si>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</si>
  <si>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</si>
  <si>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</si>
  <si>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</si>
  <si>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</si>
  <si>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</si>
  <si>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</si>
  <si>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</si>
  <si>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</si>
  <si>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</si>
  <si>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</si>
  <si>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</si>
  <si>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</si>
  <si>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</si>
  <si>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</si>
  <si>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</si>
  <si>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</si>
  <si>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</si>
  <si>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</si>
  <si>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</si>
  <si>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</si>
  <si>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</si>
  <si>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</si>
  <si>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</si>
  <si>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</si>
  <si>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</si>
  <si>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</si>
  <si>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</si>
  <si>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</si>
  <si>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</si>
  <si>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</si>
  <si>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</si>
  <si>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</si>
  <si>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</si>
  <si>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</si>
  <si>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</si>
  <si>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</si>
  <si>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</si>
  <si>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</si>
  <si>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</si>
  <si>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</si>
  <si>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</si>
  <si>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</si>
  <si>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</si>
  <si>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</si>
  <si>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</si>
  <si>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</si>
  <si>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</si>
  <si>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</si>
  <si>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</si>
  <si>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</si>
  <si>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</si>
  <si>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</si>
  <si>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</si>
  <si>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</si>
  <si>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</si>
  <si>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</si>
  <si>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</si>
  <si>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</si>
  <si>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</si>
  <si>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</si>
  <si>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</si>
  <si>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</si>
  <si>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</si>
  <si>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</si>
  <si>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</si>
  <si>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</si>
  <si>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</si>
  <si>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</si>
  <si>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</si>
  <si>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</si>
  <si>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</si>
  <si>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</si>
  <si>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</si>
  <si>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</si>
  <si>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</si>
  <si>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</si>
  <si>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</si>
  <si>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</si>
  <si>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</si>
  <si>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</si>
  <si>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</si>
  <si>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</si>
  <si>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</si>
  <si>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</si>
  <si>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</si>
  <si>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</si>
  <si>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</si>
  <si>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</si>
  <si>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</si>
  <si>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</si>
  <si>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</si>
  <si>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</si>
  <si>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</si>
  <si>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</si>
  <si>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</si>
  <si>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</si>
  <si>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</si>
  <si>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</si>
  <si>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</si>
  <si>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</si>
  <si>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</si>
  <si>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</si>
  <si>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</si>
  <si>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</si>
  <si>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</si>
  <si>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</si>
  <si>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</si>
  <si>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</si>
  <si>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</si>
  <si>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</si>
  <si>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</si>
  <si>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</si>
  <si>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</si>
  <si>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</si>
  <si>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</si>
  <si>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</si>
  <si>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</si>
  <si>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</si>
  <si>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</si>
  <si>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</si>
  <si>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</si>
  <si>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</si>
  <si>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</si>
  <si>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</si>
  <si>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</si>
  <si>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</si>
  <si>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</si>
  <si>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</si>
  <si>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</si>
  <si>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</si>
  <si>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</si>
  <si>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</si>
  <si>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</si>
  <si>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</si>
  <si>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</si>
  <si>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</si>
  <si>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</si>
  <si>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</si>
  <si>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</si>
  <si>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</si>
  <si>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</si>
  <si>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</si>
  <si>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</si>
  <si>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</si>
  <si>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</si>
  <si>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</si>
  <si>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</si>
  <si>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</si>
  <si>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</si>
  <si>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</si>
  <si>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</si>
  <si>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</si>
  <si>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</si>
  <si>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</si>
  <si>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</si>
  <si>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</si>
  <si>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</si>
  <si>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</si>
  <si>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</si>
  <si>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</si>
  <si>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</si>
  <si>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</si>
  <si>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</si>
  <si>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</si>
  <si>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</si>
  <si>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</si>
  <si>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</si>
  <si>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</si>
  <si>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</si>
  <si>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</si>
  <si>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</si>
  <si>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</si>
  <si>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</si>
  <si>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</si>
  <si>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</si>
  <si>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</si>
  <si>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</si>
  <si>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</si>
  <si>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</si>
  <si>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</si>
  <si>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</si>
  <si>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</si>
  <si>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</si>
  <si>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</si>
  <si>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</si>
  <si>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</si>
  <si>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</si>
  <si>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</si>
  <si>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</si>
  <si>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</si>
  <si>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</si>
  <si>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</si>
  <si>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</si>
  <si>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</si>
  <si>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</si>
  <si>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</si>
  <si>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</si>
  <si>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</si>
  <si>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</si>
  <si>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</si>
  <si>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</si>
  <si>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</si>
  <si>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</si>
  <si>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</si>
  <si>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</si>
  <si>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</si>
  <si>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</si>
  <si>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</si>
  <si>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</si>
  <si>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</si>
  <si>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</si>
  <si>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</si>
  <si>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</si>
  <si>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</si>
  <si>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</si>
  <si>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</si>
  <si>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</si>
  <si>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</si>
  <si>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</si>
  <si>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</si>
  <si>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</si>
  <si>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</si>
  <si>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</si>
  <si>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</si>
  <si>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</si>
  <si>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</si>
  <si>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</si>
  <si>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</si>
  <si>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</si>
  <si>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</si>
  <si>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</si>
  <si>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</si>
  <si>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</si>
  <si>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</si>
  <si>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</si>
  <si>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</si>
  <si>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</si>
  <si>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</si>
  <si>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</si>
  <si>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</si>
  <si>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</si>
  <si>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</si>
  <si>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</si>
  <si>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</si>
  <si>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</si>
  <si>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</si>
  <si>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</si>
  <si>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</si>
  <si>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</si>
  <si>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</si>
  <si>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</si>
  <si>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</si>
  <si>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</si>
  <si>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</si>
  <si>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</si>
  <si>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</si>
  <si>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</si>
  <si>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</si>
  <si>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</si>
  <si>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</si>
  <si>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</si>
  <si>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</si>
  <si>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</si>
  <si>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</si>
  <si>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</si>
  <si>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</si>
  <si>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</si>
  <si>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</si>
  <si>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</si>
  <si>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</si>
  <si>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</si>
  <si>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</si>
  <si>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</si>
  <si>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</si>
  <si>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</si>
  <si>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</si>
  <si>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</si>
  <si>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</si>
  <si>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</si>
  <si>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</si>
  <si>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</si>
  <si>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</si>
  <si>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</si>
  <si>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</si>
  <si>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</si>
  <si>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</si>
  <si>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</si>
  <si>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</si>
  <si>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</si>
  <si>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</si>
  <si>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</si>
  <si>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</si>
  <si>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</si>
  <si>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</si>
  <si>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</si>
  <si>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</si>
  <si>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</si>
  <si>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</si>
  <si>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</si>
  <si>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</si>
  <si>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</si>
  <si>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</si>
  <si>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</si>
  <si>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</si>
  <si>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</si>
  <si>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</si>
  <si>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</si>
  <si>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</si>
  <si>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</si>
  <si>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</si>
  <si>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</si>
  <si>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</si>
  <si>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</si>
  <si>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</si>
  <si>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</si>
  <si>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</si>
  <si>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</si>
  <si>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</si>
  <si>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</si>
  <si>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</si>
  <si>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</si>
  <si>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</si>
  <si>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</si>
  <si>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</si>
  <si>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</si>
  <si>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</si>
  <si>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</si>
  <si>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</si>
  <si>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</si>
  <si>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</si>
  <si>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</si>
  <si>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</si>
  <si>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</si>
  <si>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</si>
  <si>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</si>
  <si>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</si>
  <si>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</si>
  <si>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</si>
  <si>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</si>
  <si>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</si>
  <si>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</si>
  <si>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</si>
  <si>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</si>
  <si>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</si>
  <si>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</si>
  <si>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</si>
  <si>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</si>
  <si>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</si>
  <si>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</si>
  <si>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</si>
  <si>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</si>
  <si>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</si>
  <si>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</si>
  <si>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</si>
  <si>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</si>
  <si>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</si>
  <si>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</si>
  <si>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</si>
  <si>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</si>
  <si>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</si>
  <si>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</si>
  <si>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</si>
  <si>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</si>
  <si>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</si>
  <si>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</si>
  <si>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</si>
  <si>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</si>
  <si>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</si>
  <si>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</si>
  <si>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</si>
  <si>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</si>
  <si>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</si>
  <si>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</si>
  <si>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</si>
  <si>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</si>
  <si>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</si>
  <si>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</si>
  <si>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</si>
  <si>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</si>
  <si>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</si>
  <si>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</si>
  <si>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</si>
  <si>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</si>
  <si>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</si>
  <si>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</si>
  <si>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</si>
  <si>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</si>
  <si>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</si>
  <si>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</si>
  <si>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</si>
  <si>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</si>
  <si>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</si>
  <si>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</si>
  <si>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</si>
  <si>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</si>
  <si>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</si>
  <si>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</si>
  <si>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</si>
  <si>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</si>
  <si>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</si>
  <si>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</si>
  <si>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</si>
  <si>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</si>
  <si>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</si>
  <si>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</si>
  <si>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</si>
  <si>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</si>
  <si>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</si>
  <si>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</si>
  <si>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</si>
  <si>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</si>
  <si>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</si>
  <si>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</si>
  <si>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</si>
  <si>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</si>
  <si>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</si>
  <si>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</si>
  <si>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</si>
  <si>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</si>
  <si>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</si>
  <si>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</si>
  <si>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</si>
  <si>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</si>
  <si>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</si>
  <si>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</si>
  <si>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</si>
  <si>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</si>
  <si>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</si>
  <si>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</si>
  <si>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</si>
  <si>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</si>
  <si>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</si>
  <si>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</si>
  <si>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</si>
  <si>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</si>
  <si>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</si>
  <si>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</si>
  <si>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</si>
  <si>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</si>
  <si>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</si>
  <si>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</si>
  <si>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</si>
  <si>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</si>
  <si>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</si>
  <si>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</si>
  <si>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</si>
  <si>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</si>
  <si>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</si>
  <si>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</si>
  <si>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</si>
  <si>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</si>
  <si>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</si>
  <si>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</si>
  <si>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</si>
  <si>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</si>
  <si>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</si>
  <si>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</si>
  <si>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</si>
  <si>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</si>
  <si>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</si>
  <si>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</si>
  <si>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</si>
  <si>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</si>
  <si>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</si>
  <si>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</si>
  <si>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</si>
  <si>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</si>
  <si>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</si>
  <si>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</si>
  <si>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</si>
  <si>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</si>
  <si>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</si>
  <si>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</si>
  <si>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</si>
  <si>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</si>
  <si>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</si>
  <si>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</si>
  <si>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</si>
  <si>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</si>
  <si>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</si>
  <si>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</si>
  <si>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</si>
  <si>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</si>
  <si>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</si>
  <si>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</si>
  <si>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</si>
  <si>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</si>
  <si>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</si>
  <si>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</si>
  <si>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</si>
  <si>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</si>
  <si>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</si>
  <si>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</si>
  <si>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</si>
  <si>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</si>
  <si>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</si>
  <si>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</si>
  <si>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</si>
  <si>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</si>
  <si>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</si>
  <si>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</si>
  <si>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</si>
  <si>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</si>
  <si>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</si>
  <si>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</si>
  <si>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</si>
  <si>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</si>
  <si>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</si>
  <si>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</si>
  <si>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</si>
  <si>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</si>
  <si>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</si>
  <si>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</si>
  <si>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</si>
  <si>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</si>
  <si>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</si>
  <si>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</si>
  <si>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</si>
  <si>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</si>
  <si>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</si>
  <si>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</si>
  <si>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</si>
  <si>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</si>
  <si>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</si>
  <si>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</si>
  <si>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</si>
  <si>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</si>
  <si>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</si>
  <si>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</si>
  <si>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</si>
  <si>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</si>
  <si>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</si>
  <si>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</si>
  <si>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</si>
  <si>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</si>
  <si>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</si>
  <si>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</si>
  <si>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</si>
  <si>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</si>
  <si>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</si>
  <si>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</si>
  <si>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</si>
  <si>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</si>
  <si>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</si>
  <si>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</si>
  <si>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</si>
  <si>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</si>
  <si>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</si>
  <si>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</si>
  <si>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</si>
  <si>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</si>
  <si>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</si>
  <si>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</si>
  <si>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</si>
  <si>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</si>
  <si>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</si>
  <si>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</si>
  <si>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</si>
  <si>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</si>
  <si>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</si>
  <si>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</si>
  <si>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</si>
  <si>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</si>
  <si>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</si>
  <si>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</si>
  <si>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</si>
  <si>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</si>
  <si>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</si>
  <si>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</si>
  <si>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</si>
  <si>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</si>
  <si>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</si>
  <si>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</si>
  <si>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</si>
  <si>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</si>
  <si>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</si>
  <si>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</si>
  <si>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</si>
  <si>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</si>
  <si>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</si>
  <si>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</si>
  <si>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</si>
  <si>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</si>
  <si>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</si>
  <si>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</si>
  <si>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</si>
  <si>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</si>
  <si>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</si>
  <si>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</si>
  <si>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</si>
  <si>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</si>
  <si>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</si>
  <si>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</si>
  <si>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</si>
  <si>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</si>
  <si>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</si>
  <si>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</si>
  <si>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</si>
  <si>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</si>
  <si>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</si>
  <si>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</si>
  <si>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</si>
  <si>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</si>
  <si>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</si>
  <si>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</si>
  <si>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</si>
  <si>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</si>
  <si>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</si>
  <si>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</si>
  <si>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</si>
  <si>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</si>
  <si>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</si>
  <si>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</si>
  <si>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</si>
  <si>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</si>
  <si>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</si>
  <si>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</si>
  <si>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</si>
  <si>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</si>
  <si>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</si>
  <si>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</si>
  <si>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</si>
  <si>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</si>
  <si>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</si>
  <si>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</si>
  <si>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</si>
  <si>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</si>
  <si>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</si>
  <si>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</si>
  <si>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</si>
  <si>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</si>
  <si>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</si>
  <si>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</si>
  <si>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</si>
  <si>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</si>
  <si>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</si>
  <si>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</si>
  <si>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</si>
  <si>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</si>
  <si>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</si>
  <si>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</si>
  <si>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</si>
  <si>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</si>
  <si>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</si>
  <si>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</si>
  <si>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</si>
  <si>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</si>
  <si>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</si>
  <si>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</si>
  <si>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</si>
  <si>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</si>
  <si>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</si>
  <si>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</si>
  <si>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</si>
  <si>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</si>
  <si>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</si>
  <si>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</si>
  <si>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</si>
  <si>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</si>
  <si>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</si>
  <si>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</si>
  <si>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</si>
  <si>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</si>
  <si>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</si>
  <si>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</si>
  <si>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</si>
  <si>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</si>
  <si>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</si>
  <si>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</si>
  <si>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</si>
  <si>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</si>
  <si>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</si>
  <si>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</si>
  <si>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</si>
  <si>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</si>
  <si>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</si>
  <si>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</si>
  <si>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</si>
  <si>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</si>
  <si>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</si>
  <si>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</si>
  <si>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</si>
  <si>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</si>
  <si>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</si>
  <si>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</si>
  <si>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</si>
  <si>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</si>
  <si>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</si>
  <si>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</si>
  <si>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</si>
  <si>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</si>
  <si>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</si>
  <si>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</si>
  <si>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</si>
  <si>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</si>
  <si>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</si>
  <si>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</si>
  <si>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</si>
  <si>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</si>
  <si>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</si>
  <si>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</si>
  <si>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</si>
  <si>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</si>
  <si>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</si>
  <si>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</si>
  <si>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</si>
  <si>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</si>
  <si>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</si>
  <si>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</si>
  <si>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</si>
  <si>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</si>
  <si>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</si>
  <si>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</si>
  <si>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</si>
  <si>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</si>
  <si>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</si>
  <si>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</si>
  <si>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</si>
  <si>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</si>
  <si>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</si>
  <si>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</si>
  <si>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</si>
  <si>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</si>
  <si>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</si>
  <si>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</si>
  <si>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</si>
  <si>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</si>
  <si>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</si>
  <si>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</si>
  <si>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</si>
  <si>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</si>
  <si>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</si>
  <si>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</si>
  <si>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</si>
  <si>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</si>
  <si>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</si>
  <si>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</si>
  <si>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</si>
  <si>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</si>
  <si>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</si>
  <si>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</si>
  <si>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</si>
  <si>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</si>
  <si>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</si>
  <si>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</si>
  <si>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</si>
  <si>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</si>
  <si>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</si>
  <si>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</si>
  <si>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</si>
  <si>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</si>
  <si>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</si>
  <si>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</si>
  <si>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</si>
  <si>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</si>
  <si>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</si>
  <si>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</si>
  <si>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</si>
  <si>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</si>
  <si>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</si>
  <si>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</si>
  <si>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</si>
  <si>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</si>
  <si>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</si>
  <si>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</si>
  <si>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</si>
  <si>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</si>
  <si>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</si>
  <si>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</si>
  <si>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</si>
  <si>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</si>
  <si>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</si>
  <si>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</si>
  <si>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</si>
  <si>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</si>
  <si>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</si>
  <si>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</si>
  <si>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</si>
  <si>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</si>
  <si>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</si>
  <si>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</si>
  <si>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</si>
  <si>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</si>
  <si>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</si>
  <si>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</si>
  <si>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</si>
  <si>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</si>
  <si>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</si>
  <si>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</si>
  <si>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</si>
  <si>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</si>
  <si>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</si>
  <si>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</si>
  <si>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</si>
  <si>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</si>
  <si>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</si>
  <si>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</si>
  <si>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</si>
  <si>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</si>
  <si>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</si>
  <si>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</si>
  <si>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</si>
  <si>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</si>
  <si>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</si>
  <si>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</si>
  <si>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</si>
  <si>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</si>
  <si>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</si>
  <si>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</si>
  <si>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</si>
  <si>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</si>
  <si>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</si>
  <si>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</si>
  <si>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</si>
  <si>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</si>
  <si>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</si>
  <si>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</si>
  <si>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</si>
  <si>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</si>
  <si>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</si>
  <si>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</si>
  <si>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</si>
  <si>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</si>
  <si>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</si>
  <si>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</si>
  <si>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</si>
  <si>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</si>
  <si>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</si>
  <si>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</si>
  <si>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</si>
  <si>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</si>
  <si>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</si>
  <si>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</si>
  <si>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</si>
  <si>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</si>
  <si>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</si>
  <si>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</si>
  <si>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</si>
  <si>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</si>
  <si>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</si>
  <si>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</si>
  <si>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</si>
  <si>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</si>
  <si>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</si>
  <si>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</si>
  <si>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</si>
  <si>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</si>
  <si>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</si>
  <si>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</si>
  <si>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</si>
  <si>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</si>
  <si>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</si>
  <si>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</si>
  <si>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</si>
  <si>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</si>
  <si>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</si>
  <si>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</si>
  <si>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</si>
  <si>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</si>
  <si>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</si>
  <si>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</si>
  <si>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</si>
  <si>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</si>
  <si>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</si>
  <si>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</si>
  <si>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</si>
  <si>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</si>
  <si>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</si>
  <si>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</si>
  <si>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</si>
  <si>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</si>
  <si>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</si>
  <si>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</si>
  <si>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</si>
  <si>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</si>
  <si>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</si>
  <si>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</si>
  <si>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</si>
  <si>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</si>
  <si>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</si>
  <si>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</si>
  <si>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</si>
  <si>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</si>
  <si>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</si>
  <si>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</si>
  <si>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</si>
  <si>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</si>
  <si>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</si>
  <si>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</si>
  <si>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</si>
  <si>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</si>
  <si>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</si>
  <si>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</si>
  <si>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</si>
  <si>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</si>
  <si>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</si>
  <si>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</si>
  <si>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</si>
  <si>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</si>
  <si>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</si>
  <si>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</si>
  <si>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</si>
  <si>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</si>
  <si>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</si>
  <si>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</si>
  <si>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</si>
  <si>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</si>
  <si>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</si>
  <si>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</si>
  <si>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</si>
  <si>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</si>
  <si>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</si>
  <si>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</si>
  <si>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</si>
  <si>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</si>
  <si>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</si>
  <si>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</si>
  <si>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</si>
  <si>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</si>
  <si>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</si>
  <si>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</si>
  <si>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</si>
  <si>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</si>
  <si>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</si>
  <si>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</si>
  <si>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</si>
  <si>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</si>
  <si>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</si>
  <si>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</si>
  <si>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</si>
  <si>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</si>
  <si>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</si>
  <si>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</si>
  <si>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</si>
  <si>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</si>
  <si>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</si>
  <si>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</si>
  <si>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</si>
  <si>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</si>
  <si>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</si>
  <si>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</si>
  <si>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</si>
  <si>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</si>
  <si>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</si>
  <si>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</si>
  <si>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</si>
  <si>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</si>
  <si>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</si>
  <si>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</si>
  <si>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</si>
  <si>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</si>
  <si>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</si>
  <si>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</si>
  <si>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</si>
  <si>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</si>
  <si>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</si>
  <si>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</si>
  <si>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</si>
  <si>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</si>
  <si>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</si>
  <si>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</si>
  <si>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</si>
  <si>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</si>
  <si>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</si>
  <si>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</si>
  <si>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</si>
  <si>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</si>
  <si>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</si>
  <si>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</si>
  <si>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</si>
  <si>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</si>
  <si>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</si>
  <si>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</si>
  <si>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</si>
  <si>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</si>
  <si>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</si>
  <si>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</si>
  <si>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</si>
  <si>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</si>
  <si>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</si>
  <si>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</si>
  <si>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</si>
  <si>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</si>
  <si>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</si>
  <si>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</si>
  <si>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</si>
  <si>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</si>
  <si>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</si>
  <si>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</si>
  <si>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</si>
  <si>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</si>
  <si>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</si>
  <si>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</si>
  <si>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</si>
  <si>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</si>
  <si>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</si>
  <si>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</si>
  <si>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</si>
  <si>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</si>
  <si>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</si>
  <si>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</si>
  <si>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</si>
  <si>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</si>
  <si>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</si>
  <si>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</si>
  <si>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</si>
  <si>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</si>
  <si>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</si>
  <si>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</si>
  <si>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</si>
  <si>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</si>
  <si>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</si>
  <si>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</si>
  <si>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</si>
  <si>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</si>
  <si>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</si>
  <si>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</si>
  <si>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</si>
  <si>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</si>
  <si>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</si>
  <si>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</si>
  <si>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</si>
  <si>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</si>
  <si>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</si>
  <si>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</si>
  <si>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</si>
  <si>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</si>
  <si>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</si>
  <si>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</si>
  <si>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</si>
  <si>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</si>
  <si>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</si>
  <si>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</si>
  <si>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</si>
  <si>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</si>
  <si>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</si>
  <si>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</si>
  <si>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</si>
  <si>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</si>
  <si>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</si>
  <si>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</si>
  <si>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</si>
  <si>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</si>
  <si>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</si>
  <si>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</si>
  <si>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</si>
  <si>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</si>
  <si>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</si>
  <si>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</si>
  <si>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</si>
  <si>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</si>
  <si>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</si>
  <si>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</si>
  <si>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</si>
  <si>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</si>
  <si>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</si>
  <si>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</si>
  <si>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</si>
  <si>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</si>
  <si>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</si>
  <si>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</si>
  <si>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</si>
  <si>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</si>
  <si>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</si>
  <si>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</si>
  <si>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</si>
  <si>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</si>
  <si>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</si>
  <si>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</si>
  <si>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</si>
  <si>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</si>
  <si>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</si>
  <si>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</si>
  <si>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</si>
  <si>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</si>
  <si>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</si>
  <si>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</si>
  <si>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</si>
  <si>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</si>
  <si>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</si>
  <si>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</si>
  <si>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</si>
  <si>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</si>
  <si>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</si>
  <si>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</si>
  <si>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</si>
  <si>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</si>
  <si>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</si>
  <si>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</si>
  <si>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</si>
  <si>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</si>
  <si>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</si>
  <si>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</si>
  <si>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</si>
  <si>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</si>
  <si>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</si>
  <si>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</si>
  <si>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</si>
  <si>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</si>
  <si>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</si>
  <si>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</si>
  <si>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</si>
  <si>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</si>
  <si>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</si>
  <si>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</si>
  <si>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</si>
  <si>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</si>
  <si>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</si>
  <si>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</si>
  <si>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</si>
  <si>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</si>
  <si>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</si>
  <si>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</si>
  <si>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</si>
  <si>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</si>
  <si>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</si>
  <si>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</si>
  <si>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</si>
  <si>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</si>
  <si>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</si>
  <si>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</si>
  <si>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</si>
  <si>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</si>
  <si>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</si>
  <si>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</si>
  <si>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</si>
  <si>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</si>
  <si>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</si>
  <si>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</si>
  <si>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</si>
  <si>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</si>
  <si>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</si>
  <si>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</si>
  <si>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</si>
  <si>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</si>
  <si>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</si>
  <si>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</si>
  <si>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</si>
  <si>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</si>
  <si>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</si>
  <si>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</si>
  <si>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</si>
  <si>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</si>
  <si>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</si>
  <si>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</si>
  <si>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</si>
  <si>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</si>
  <si>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</si>
  <si>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</si>
  <si>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</si>
  <si>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</si>
  <si>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</si>
  <si>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</si>
  <si>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</si>
  <si>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</si>
  <si>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</si>
  <si>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</si>
  <si>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</si>
  <si>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</si>
  <si>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</si>
  <si>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</si>
  <si>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</si>
  <si>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</si>
  <si>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</si>
  <si>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</si>
  <si>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</si>
  <si>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</si>
  <si>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</si>
  <si>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</si>
  <si>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</si>
  <si>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</si>
  <si>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</si>
  <si>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</si>
  <si>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</si>
  <si>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</si>
  <si>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</si>
  <si>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</si>
  <si>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</si>
  <si>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</si>
  <si>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</si>
  <si>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</si>
  <si>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</si>
  <si>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</si>
  <si>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</si>
  <si>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</si>
  <si>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</si>
  <si>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</si>
  <si>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</si>
  <si>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</si>
  <si>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</si>
  <si>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</si>
  <si>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</si>
  <si>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</si>
  <si>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</si>
  <si>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</si>
  <si>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</si>
  <si>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</si>
  <si>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</si>
  <si>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</si>
  <si>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</si>
  <si>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</si>
  <si>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</si>
  <si>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</si>
  <si>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</si>
  <si>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</si>
  <si>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</si>
  <si>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</si>
  <si>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</si>
  <si>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</si>
  <si>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</si>
  <si>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</si>
  <si>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</si>
  <si>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</si>
  <si>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</si>
  <si>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</si>
  <si>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</si>
  <si>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</si>
  <si>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</si>
  <si>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</si>
  <si>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</si>
  <si>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</si>
  <si>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</si>
  <si>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</si>
  <si>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</si>
  <si>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</si>
  <si>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</si>
  <si>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</si>
  <si>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</si>
  <si>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</si>
  <si>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</si>
  <si>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</si>
  <si>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</si>
  <si>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</si>
  <si>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</si>
  <si>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</si>
  <si>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</si>
  <si>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</si>
  <si>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</si>
  <si>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</si>
  <si>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</si>
  <si>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</si>
  <si>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</si>
  <si>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</si>
  <si>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</si>
  <si>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</si>
  <si>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</si>
  <si>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</si>
  <si>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</si>
  <si>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</si>
  <si>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</si>
  <si>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</si>
  <si>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</si>
  <si>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</si>
  <si>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</si>
  <si>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</si>
  <si>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</si>
  <si>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</si>
  <si>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</si>
  <si>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</si>
  <si>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</si>
  <si>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</si>
  <si>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</si>
  <si>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</si>
  <si>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</si>
  <si>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</si>
  <si>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</si>
  <si>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</si>
  <si>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</si>
  <si>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</si>
  <si>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</si>
  <si>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</si>
  <si>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</si>
  <si>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</si>
  <si>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</si>
  <si>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</si>
  <si>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</si>
  <si>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</si>
  <si>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</si>
  <si>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</si>
  <si>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</si>
  <si>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</si>
  <si>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</si>
  <si>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</si>
  <si>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</si>
  <si>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</si>
  <si>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</si>
  <si>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</si>
  <si>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</si>
  <si>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</si>
  <si>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</si>
  <si>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</si>
  <si>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</si>
  <si>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</si>
  <si>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</si>
  <si>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</si>
  <si>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</si>
  <si>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</si>
  <si>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</si>
  <si>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</si>
  <si>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</si>
  <si>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</si>
  <si>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</si>
  <si>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</si>
  <si>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</si>
  <si>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</si>
  <si>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</si>
  <si>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</si>
  <si>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</si>
  <si>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</si>
  <si>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</si>
  <si>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</si>
  <si>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</si>
  <si>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</si>
  <si>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</si>
  <si>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</si>
  <si>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</si>
  <si>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</si>
  <si>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</si>
  <si>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</si>
  <si>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</si>
  <si>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</si>
  <si>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</si>
  <si>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</si>
  <si>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</si>
  <si>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</si>
  <si>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</si>
  <si>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</si>
  <si>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</si>
  <si>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</si>
  <si>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</si>
  <si>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</si>
  <si>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</si>
  <si>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</si>
  <si>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</si>
  <si>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</si>
  <si>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</si>
  <si>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</si>
  <si>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</si>
  <si>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</si>
  <si>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</si>
  <si>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</si>
  <si>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</si>
  <si>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</si>
  <si>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</si>
  <si>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</si>
  <si>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</si>
  <si>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</si>
  <si>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</si>
  <si>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</si>
  <si>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</si>
  <si>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</si>
  <si>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</si>
  <si>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</si>
  <si>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</si>
  <si>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</si>
  <si>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</si>
  <si>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</si>
  <si>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</si>
  <si>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</si>
  <si>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</si>
  <si>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</si>
  <si>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</si>
  <si>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</si>
  <si>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</si>
  <si>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</si>
  <si>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</si>
  <si>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</si>
  <si>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</si>
  <si>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</si>
  <si>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</si>
  <si>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</si>
  <si>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</si>
  <si>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</si>
  <si>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</si>
  <si>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</si>
  <si>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</si>
  <si>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</si>
  <si>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</si>
  <si>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</si>
  <si>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</si>
  <si>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</si>
  <si>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</si>
  <si>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</si>
  <si>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</si>
  <si>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</si>
  <si>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</si>
  <si>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</si>
  <si>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</si>
  <si>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</si>
  <si>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</si>
  <si>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</si>
  <si>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</si>
  <si>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</si>
  <si>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</si>
  <si>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</si>
  <si>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</si>
  <si>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</si>
  <si>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</si>
  <si>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</si>
  <si>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</si>
  <si>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</si>
  <si>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</si>
  <si>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</si>
  <si>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</si>
  <si>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</si>
  <si>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</si>
  <si>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</si>
  <si>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</si>
  <si>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</si>
  <si>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</si>
  <si>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</si>
  <si>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</si>
  <si>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</si>
  <si>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</si>
  <si>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</si>
  <si>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</si>
  <si>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</si>
  <si>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</si>
  <si>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</si>
  <si>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</si>
  <si>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</si>
  <si>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</si>
  <si>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</si>
  <si>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</si>
  <si>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</si>
  <si>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</si>
  <si>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</si>
  <si>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</si>
  <si>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</si>
  <si>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</si>
  <si>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</si>
  <si>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</si>
  <si>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</si>
  <si>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</si>
  <si>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</si>
  <si>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</si>
  <si>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</si>
  <si>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</si>
  <si>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</si>
  <si>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</si>
  <si>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</si>
  <si>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</si>
  <si>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</si>
  <si>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</si>
  <si>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</si>
  <si>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</si>
  <si>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</si>
  <si>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</si>
  <si>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</si>
  <si>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</si>
  <si>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</si>
  <si>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</si>
  <si>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</si>
  <si>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</si>
  <si>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</si>
  <si>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</si>
  <si>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</si>
  <si>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</si>
  <si>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</si>
  <si>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</si>
  <si>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</si>
  <si>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</si>
  <si>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</si>
  <si>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</si>
  <si>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</si>
  <si>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</si>
  <si>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</si>
  <si>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</si>
  <si>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</si>
  <si>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</si>
  <si>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</si>
  <si>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</si>
  <si>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</si>
  <si>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</si>
  <si>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</si>
  <si>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</si>
  <si>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</si>
  <si>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</si>
  <si>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</si>
  <si>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</si>
  <si>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</si>
  <si>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</si>
  <si>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</si>
  <si>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</si>
  <si>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</si>
  <si>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</si>
  <si>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</si>
  <si>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</si>
  <si>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</si>
  <si>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</si>
  <si>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</si>
  <si>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</si>
  <si>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</si>
  <si>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</si>
  <si>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</si>
  <si>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</si>
  <si>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</si>
  <si>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</si>
  <si>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</si>
  <si>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</si>
  <si>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</si>
  <si>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</si>
  <si>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</si>
  <si>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</si>
  <si>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</si>
  <si>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</si>
  <si>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</si>
  <si>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</si>
  <si>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</si>
  <si>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</si>
  <si>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</si>
  <si>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</si>
  <si>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</si>
  <si>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</si>
  <si>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</si>
  <si>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</si>
  <si>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</si>
  <si>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</si>
  <si>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</si>
  <si>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</si>
  <si>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</si>
  <si>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</si>
  <si>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</si>
  <si>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</si>
  <si>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</si>
  <si>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</si>
  <si>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</si>
  <si>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</si>
  <si>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</si>
  <si>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</si>
  <si>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</si>
  <si>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</si>
  <si>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</si>
  <si>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</si>
  <si>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</si>
  <si>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</si>
  <si>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</si>
  <si>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</si>
  <si>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</si>
  <si>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</si>
  <si>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</si>
  <si>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</si>
  <si>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</si>
  <si>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</si>
  <si>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</si>
  <si>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</si>
  <si>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</si>
  <si>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</si>
  <si>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</si>
  <si>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</si>
  <si>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</si>
  <si>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</si>
  <si>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</si>
  <si>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</si>
  <si>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</si>
  <si>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</si>
  <si>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</si>
  <si>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</si>
  <si>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</si>
  <si>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</si>
  <si>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</si>
  <si>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</si>
  <si>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</si>
  <si>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</si>
  <si>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</si>
  <si>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</si>
  <si>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</si>
  <si>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</si>
  <si>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</si>
  <si>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</si>
  <si>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</si>
  <si>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</si>
  <si>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</si>
  <si>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</si>
  <si>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</si>
  <si>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</si>
  <si>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</si>
  <si>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</si>
  <si>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</si>
  <si>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</si>
  <si>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</si>
  <si>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</si>
  <si>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</si>
  <si>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</si>
  <si>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</si>
  <si>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</si>
  <si>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</si>
  <si>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</si>
  <si>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</si>
  <si>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</si>
  <si>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</si>
  <si>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</si>
  <si>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</si>
  <si>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</si>
  <si>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</si>
  <si>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</si>
  <si>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</si>
  <si>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</si>
  <si>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</si>
  <si>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</si>
  <si>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</si>
  <si>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</si>
  <si>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</si>
  <si>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</si>
  <si>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</si>
  <si>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</si>
  <si>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</si>
  <si>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</si>
  <si>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</si>
  <si>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</si>
  <si>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</si>
  <si>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</si>
  <si>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</si>
  <si>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</si>
  <si>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</si>
  <si>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</si>
  <si>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</si>
  <si>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</si>
  <si>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</si>
  <si>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</si>
  <si>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</si>
  <si>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</si>
  <si>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</si>
  <si>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</si>
  <si>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</si>
  <si>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</si>
  <si>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</si>
  <si>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</si>
  <si>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</si>
  <si>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</si>
  <si>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</si>
  <si>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</si>
  <si>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</si>
  <si>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</si>
  <si>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</si>
  <si>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</si>
  <si>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</si>
  <si>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</si>
  <si>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</si>
  <si>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</si>
  <si>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</si>
  <si>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</si>
  <si>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</si>
  <si>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</si>
  <si>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</si>
  <si>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</si>
  <si>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</si>
  <si>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</si>
  <si>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</si>
  <si>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</si>
  <si>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</si>
  <si>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</si>
  <si>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</si>
  <si>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</si>
  <si>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</si>
  <si>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</si>
  <si>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</si>
  <si>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</si>
  <si>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</si>
  <si>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</si>
  <si>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</si>
  <si>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</si>
  <si>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</si>
  <si>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</si>
  <si>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</si>
  <si>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</si>
  <si>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</si>
  <si>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</si>
  <si>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</si>
  <si>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</si>
  <si>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</si>
  <si>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</si>
  <si>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</si>
  <si>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</si>
  <si>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</si>
  <si>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</si>
  <si>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</si>
  <si>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</si>
  <si>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</si>
  <si>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</si>
  <si>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</si>
  <si>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</si>
  <si>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</si>
  <si>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</si>
  <si>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</si>
  <si>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</si>
  <si>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</si>
  <si>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</si>
  <si>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</si>
  <si>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</si>
  <si>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</si>
  <si>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</si>
  <si>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</si>
  <si>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</si>
  <si>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</si>
  <si>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</si>
  <si>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</si>
  <si>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</si>
  <si>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</si>
  <si>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</si>
  <si>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</si>
  <si>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</si>
  <si>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</si>
  <si>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</si>
  <si>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</si>
  <si>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</si>
  <si>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</si>
  <si>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</si>
  <si>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</si>
  <si>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</si>
  <si>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</si>
  <si>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</si>
  <si>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</si>
  <si>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</si>
  <si>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</si>
  <si>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</si>
  <si>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</si>
  <si>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</si>
  <si>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</si>
  <si>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</si>
  <si>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</si>
  <si>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</si>
  <si>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</si>
  <si>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</si>
  <si>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</si>
  <si>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</si>
  <si>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</si>
  <si>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</si>
  <si>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</si>
  <si>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</si>
  <si>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</si>
  <si>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</si>
  <si>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</si>
  <si>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</si>
  <si>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</si>
  <si>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</si>
  <si>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</si>
  <si>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</si>
  <si>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</si>
  <si>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</si>
  <si>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</si>
  <si>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</si>
  <si>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</si>
  <si>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</si>
  <si>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</si>
  <si>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</si>
  <si>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</si>
  <si>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</si>
  <si>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</si>
  <si>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</si>
  <si>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</si>
  <si>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</si>
  <si>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</si>
  <si>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</si>
  <si>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</si>
  <si>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</si>
  <si>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</si>
  <si>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</si>
  <si>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</si>
  <si>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</si>
  <si>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</si>
  <si>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</si>
  <si>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</si>
  <si>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</si>
  <si>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</si>
  <si>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</si>
  <si>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</si>
  <si>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</si>
  <si>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</si>
  <si>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</si>
  <si>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</si>
  <si>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</si>
  <si>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</si>
  <si>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</si>
  <si>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</si>
  <si>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</si>
  <si>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</si>
  <si>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</si>
  <si>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</si>
  <si>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</si>
  <si>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</si>
  <si>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</si>
  <si>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</si>
  <si>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</si>
  <si>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</si>
  <si>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</si>
  <si>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</si>
  <si>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</si>
  <si>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</si>
  <si>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</si>
  <si>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</si>
  <si>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</si>
  <si>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</si>
  <si>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</si>
  <si>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</si>
  <si>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</si>
  <si>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</si>
  <si>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</si>
  <si>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</si>
  <si>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</si>
  <si>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</si>
  <si>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</si>
  <si>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</si>
  <si>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</si>
  <si>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</si>
  <si>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</si>
  <si>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</si>
  <si>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</si>
  <si>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</si>
  <si>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</si>
  <si>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</si>
  <si>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</si>
  <si>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</si>
  <si>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</si>
  <si>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</si>
  <si>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</si>
  <si>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</si>
  <si>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</si>
  <si>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</si>
  <si>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</si>
  <si>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</si>
  <si>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</si>
  <si>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</si>
  <si>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</si>
  <si>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</si>
  <si>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</si>
  <si>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</si>
  <si>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</si>
  <si>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</si>
  <si>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</si>
  <si>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</si>
  <si>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</si>
  <si>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</si>
  <si>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</si>
  <si>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</si>
  <si>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</si>
  <si>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</si>
  <si>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</si>
  <si>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</si>
  <si>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</si>
  <si>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</si>
  <si>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</si>
  <si>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</si>
  <si>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</si>
  <si>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</si>
  <si>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</si>
  <si>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</si>
  <si>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</si>
  <si>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</si>
  <si>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</si>
  <si>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</si>
  <si>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</si>
  <si>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</si>
  <si>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</si>
  <si>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</si>
  <si>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</si>
  <si>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</si>
  <si>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</si>
  <si>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</si>
  <si>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</si>
  <si>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</si>
  <si>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</si>
  <si>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</si>
  <si>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</si>
  <si>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</si>
  <si>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</si>
  <si>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</si>
  <si>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</si>
  <si>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</si>
  <si>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</si>
  <si>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</si>
  <si>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</si>
  <si>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</si>
  <si>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</si>
  <si>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</si>
  <si>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</si>
  <si>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</si>
  <si>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</si>
  <si>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</si>
  <si>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</si>
  <si>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</si>
  <si>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</si>
  <si>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</si>
  <si>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</si>
  <si>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</si>
  <si>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</si>
  <si>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</si>
  <si>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</si>
  <si>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</si>
  <si>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</si>
  <si>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</si>
  <si>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</si>
  <si>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</si>
  <si>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</si>
  <si>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</si>
  <si>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</si>
  <si>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</si>
  <si>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</si>
  <si>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</si>
  <si>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</si>
  <si>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</si>
  <si>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</si>
  <si>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</si>
  <si>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</si>
  <si>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</si>
  <si>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</si>
  <si>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</si>
  <si>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</si>
  <si>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</si>
  <si>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</si>
  <si>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</si>
  <si>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</si>
  <si>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</si>
  <si>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</si>
  <si>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</si>
  <si>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</si>
  <si>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</si>
  <si>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</si>
  <si>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</si>
  <si>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</si>
  <si>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</si>
  <si>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</si>
  <si>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</si>
  <si>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</si>
  <si>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</si>
  <si>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</si>
  <si>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</si>
  <si>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</si>
  <si>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</si>
  <si>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</si>
  <si>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</si>
  <si>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</si>
  <si>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</si>
  <si>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</si>
  <si>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</si>
  <si>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</si>
  <si>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</si>
  <si>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</si>
  <si>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</si>
  <si>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</si>
  <si>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</si>
  <si>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</si>
  <si>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</si>
  <si>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</si>
  <si>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</si>
  <si>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</si>
  <si>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</si>
  <si>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</si>
  <si>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</si>
  <si>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</si>
  <si>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</si>
  <si>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</si>
  <si>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</si>
  <si>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</si>
  <si>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</si>
  <si>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</si>
  <si>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</si>
  <si>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</si>
  <si>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</si>
  <si>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</si>
  <si>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</si>
  <si>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</si>
  <si>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</si>
  <si>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</si>
  <si>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</si>
  <si>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</si>
  <si>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</si>
  <si>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</si>
  <si>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</si>
  <si>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</si>
  <si>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</si>
  <si>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</si>
  <si>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</si>
  <si>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</si>
  <si>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</si>
  <si>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</si>
  <si>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</si>
  <si>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</si>
  <si>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</si>
  <si>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</si>
  <si>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</si>
  <si>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</si>
  <si>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</si>
  <si>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</si>
  <si>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</si>
  <si>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</si>
  <si>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</si>
  <si>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</si>
  <si>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</si>
  <si>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</si>
  <si>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</si>
  <si>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</si>
  <si>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</si>
  <si>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</si>
  <si>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</si>
  <si>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</si>
  <si>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</si>
  <si>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</si>
  <si>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</si>
  <si>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</si>
  <si>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</si>
  <si>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</si>
  <si>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</si>
  <si>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</si>
  <si>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</si>
  <si>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</si>
  <si>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</si>
  <si>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</si>
  <si>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</si>
  <si>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</si>
  <si>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</si>
  <si>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</si>
  <si>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</si>
  <si>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</si>
  <si>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</si>
  <si>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</si>
  <si>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</si>
  <si>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</si>
  <si>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</si>
  <si>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</si>
  <si>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</si>
  <si>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</si>
  <si>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</si>
  <si>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</si>
  <si>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</si>
  <si>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</si>
  <si>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</si>
  <si>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</si>
  <si>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</si>
  <si>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</si>
  <si>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</si>
  <si>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</si>
  <si>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</si>
  <si>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</si>
  <si>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</si>
  <si>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</si>
  <si>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</si>
  <si>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</si>
  <si>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</si>
  <si>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</si>
  <si>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</si>
  <si>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</si>
  <si>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</si>
  <si>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</si>
  <si>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</si>
  <si>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</si>
  <si>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</si>
  <si>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</si>
  <si>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</si>
  <si>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</si>
  <si>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</si>
  <si>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</si>
  <si>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</si>
  <si>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</si>
  <si>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</si>
  <si>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</si>
  <si>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</si>
  <si>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</si>
  <si>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</si>
  <si>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</si>
  <si>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</si>
  <si>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</si>
  <si>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</si>
  <si>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</si>
  <si>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</si>
  <si>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</si>
  <si>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</si>
  <si>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</si>
  <si>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</si>
  <si>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</si>
  <si>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</si>
  <si>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</si>
  <si>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</si>
  <si>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</si>
  <si>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</si>
  <si>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</si>
  <si>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</si>
  <si>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</si>
  <si>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</si>
  <si>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</si>
  <si>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</si>
  <si>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</si>
  <si>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</si>
  <si>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</si>
  <si>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</si>
  <si>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</si>
  <si>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</si>
  <si>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</si>
  <si>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</si>
  <si>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</si>
  <si>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</si>
  <si>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</si>
  <si>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</si>
  <si>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</si>
  <si>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</si>
  <si>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</si>
  <si>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</si>
  <si>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</si>
  <si>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</si>
  <si>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</si>
  <si>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</si>
  <si>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</si>
  <si>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</si>
  <si>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</si>
  <si>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</si>
  <si>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</si>
  <si>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</si>
  <si>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</si>
  <si>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</si>
  <si>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</si>
  <si>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</si>
  <si>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</si>
  <si>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</si>
  <si>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</si>
  <si>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</si>
  <si>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</si>
  <si>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</si>
  <si>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</si>
  <si>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</si>
  <si>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</si>
  <si>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</si>
  <si>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</si>
  <si>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</si>
  <si>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</si>
  <si>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</si>
  <si>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</si>
  <si>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</si>
  <si>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</si>
  <si>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</si>
  <si>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</si>
  <si>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</si>
  <si>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</si>
  <si>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</si>
  <si>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</si>
  <si>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</si>
  <si>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</si>
  <si>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</si>
  <si>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</si>
  <si>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</si>
  <si>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</si>
  <si>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</si>
  <si>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</si>
  <si>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</si>
  <si>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</si>
  <si>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</si>
  <si>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</si>
  <si>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</si>
  <si>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</si>
  <si>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</si>
  <si>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</si>
  <si>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</si>
  <si>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</si>
  <si>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</si>
  <si>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</si>
  <si>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</si>
  <si>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</si>
  <si>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</si>
  <si>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</si>
  <si>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</si>
  <si>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</si>
  <si>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</si>
  <si>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</si>
  <si>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</si>
  <si>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</si>
  <si>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</si>
  <si>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</si>
  <si>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</si>
  <si>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</si>
  <si>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</si>
  <si>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</si>
  <si>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</si>
  <si>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</si>
  <si>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</si>
  <si>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</si>
  <si>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</si>
  <si>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</si>
  <si>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</si>
  <si>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</si>
  <si>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</si>
  <si>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</si>
  <si>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</si>
  <si>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</si>
  <si>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</si>
  <si>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</si>
  <si>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</si>
  <si>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</si>
  <si>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</si>
  <si>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</si>
  <si>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</si>
  <si>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</si>
  <si>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</si>
  <si>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</si>
  <si>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</si>
  <si>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</si>
  <si>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</si>
  <si>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</si>
  <si>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</si>
  <si>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</si>
  <si>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</si>
  <si>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</si>
  <si>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</si>
  <si>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</si>
  <si>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</si>
  <si>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</si>
  <si>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</si>
  <si>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</si>
  <si>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</si>
  <si>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</si>
  <si>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</si>
  <si>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</si>
  <si>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</si>
  <si>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</si>
  <si>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</si>
  <si>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</si>
  <si>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</si>
  <si>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</si>
  <si>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</si>
  <si>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</si>
  <si>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</si>
  <si>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</si>
  <si>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</si>
  <si>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</si>
  <si>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</si>
  <si>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</si>
  <si>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</si>
  <si>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</si>
  <si>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</si>
  <si>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</si>
  <si>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</si>
  <si>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</si>
  <si>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</si>
  <si>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</si>
  <si>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</si>
  <si>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</si>
  <si>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</si>
  <si>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</si>
  <si>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</si>
  <si>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</si>
  <si>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</si>
  <si>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</si>
  <si>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</si>
  <si>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</si>
  <si>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</si>
  <si>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</si>
  <si>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</si>
  <si>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</si>
  <si>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</si>
  <si>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</si>
  <si>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</si>
  <si>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</si>
  <si>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</si>
  <si>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</si>
  <si>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</si>
  <si>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</si>
  <si>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</si>
  <si>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</si>
  <si>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</si>
  <si>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</si>
  <si>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</si>
  <si>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</si>
  <si>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</si>
  <si>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</si>
  <si>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</si>
  <si>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</si>
  <si>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</si>
  <si>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</si>
  <si>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</si>
  <si>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</si>
  <si>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</si>
  <si>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</si>
  <si>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</si>
  <si>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</si>
  <si>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</si>
  <si>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</si>
  <si>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</si>
  <si>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</si>
  <si>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</si>
  <si>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</si>
  <si>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</si>
  <si>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</si>
  <si>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</si>
  <si>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</si>
  <si>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</si>
  <si>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</si>
  <si>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</si>
  <si>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</si>
  <si>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</si>
  <si>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</si>
  <si>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</si>
  <si>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</si>
  <si>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</si>
  <si>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</si>
  <si>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</si>
  <si>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</si>
  <si>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</si>
  <si>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</si>
  <si>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</si>
  <si>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</si>
  <si>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</si>
  <si>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</si>
  <si>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</si>
  <si>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</si>
  <si>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</si>
  <si>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</si>
  <si>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</si>
  <si>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</si>
  <si>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</si>
  <si>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</si>
  <si>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</si>
  <si>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</si>
  <si>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</si>
  <si>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</si>
  <si>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</si>
  <si>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</si>
  <si>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</si>
  <si>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</si>
  <si>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</si>
  <si>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</si>
  <si>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</si>
  <si>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</si>
  <si>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</si>
  <si>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</si>
  <si>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</si>
  <si>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</si>
  <si>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</si>
  <si>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</si>
  <si>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</si>
  <si>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</si>
  <si>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</si>
  <si>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</si>
  <si>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</si>
  <si>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</si>
  <si>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</si>
  <si>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</si>
  <si>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</si>
  <si>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</si>
  <si>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</si>
  <si>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</si>
  <si>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</si>
  <si>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</si>
  <si>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</si>
  <si>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</si>
  <si>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</si>
  <si>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</si>
  <si>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</si>
  <si>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</si>
  <si>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</si>
  <si>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</si>
  <si>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</si>
  <si>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</si>
  <si>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</si>
  <si>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</si>
  <si>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</si>
  <si>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</si>
  <si>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</si>
  <si>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</si>
  <si>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</si>
  <si>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</si>
  <si>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</si>
  <si>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</si>
  <si>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</si>
  <si>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</si>
  <si>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</si>
  <si>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</si>
  <si>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</si>
  <si>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</si>
  <si>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</si>
  <si>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</si>
  <si>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</si>
  <si>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</si>
  <si>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</si>
  <si>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</si>
  <si>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</si>
  <si>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</si>
  <si>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</si>
  <si>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</si>
  <si>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</si>
  <si>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</si>
  <si>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</si>
  <si>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</si>
  <si>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</si>
  <si>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</si>
  <si>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</si>
  <si>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</si>
  <si>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</si>
  <si>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</si>
  <si>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</si>
  <si>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</si>
  <si>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</si>
  <si>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</si>
  <si>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</si>
  <si>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</si>
  <si>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</si>
  <si>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</si>
  <si>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</si>
  <si>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</si>
  <si>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</si>
  <si>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</si>
  <si>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</si>
  <si>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</si>
  <si>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</si>
  <si>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</si>
  <si>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</si>
  <si>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</si>
  <si>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</si>
  <si>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</si>
  <si>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</si>
  <si>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</si>
  <si>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</si>
  <si>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</si>
  <si>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</si>
  <si>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</si>
  <si>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</si>
  <si>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</si>
  <si>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</si>
  <si>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</si>
  <si>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</si>
  <si>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</si>
  <si>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</si>
  <si>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</si>
  <si>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</si>
  <si>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</si>
  <si>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</si>
  <si>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</si>
  <si>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</si>
  <si>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</si>
  <si>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</si>
  <si>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</si>
  <si>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</si>
  <si>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</si>
  <si>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</si>
  <si>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</si>
  <si>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</si>
  <si>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</si>
  <si>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</si>
  <si>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</si>
  <si>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</si>
  <si>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</si>
  <si>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</si>
  <si>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</si>
  <si>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</si>
  <si>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</si>
  <si>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</si>
  <si>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</si>
  <si>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</si>
  <si>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</si>
  <si>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</si>
  <si>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</si>
  <si>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</si>
  <si>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</si>
  <si>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</si>
  <si>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</si>
  <si>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</si>
  <si>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</si>
  <si>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</si>
  <si>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</si>
  <si>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</si>
  <si>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</si>
  <si>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</si>
  <si>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</si>
  <si>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</si>
  <si>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</si>
  <si>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</si>
  <si>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</si>
  <si>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</si>
  <si>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</si>
  <si>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</si>
  <si>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</si>
  <si>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</si>
  <si>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</si>
  <si>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</si>
  <si>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</si>
  <si>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</si>
  <si>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</si>
  <si>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</si>
  <si>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</si>
  <si>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</si>
  <si>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</si>
  <si>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</si>
  <si>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</si>
  <si>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</si>
  <si>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</si>
  <si>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</si>
  <si>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</si>
  <si>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</si>
  <si>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</si>
  <si>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</si>
  <si>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</si>
  <si>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</si>
  <si>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</si>
  <si>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</si>
  <si>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</si>
  <si>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</si>
  <si>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</si>
  <si>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</si>
  <si>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</si>
  <si>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</si>
  <si>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</si>
  <si>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</si>
  <si>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</si>
  <si>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</si>
  <si>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</si>
  <si>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</si>
  <si>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</si>
  <si>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</si>
  <si>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</si>
  <si>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</si>
  <si>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</si>
  <si>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</si>
  <si>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</si>
  <si>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</si>
  <si>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</si>
  <si>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</si>
  <si>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</si>
  <si>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</si>
  <si>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</si>
  <si>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</si>
  <si>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</si>
  <si>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</si>
  <si>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</si>
  <si>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</si>
  <si>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</si>
  <si>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</si>
  <si>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</si>
  <si>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</si>
  <si>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</si>
  <si>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</si>
  <si>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</si>
  <si>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</si>
  <si>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</si>
  <si>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</si>
  <si>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</si>
  <si>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</si>
  <si>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</si>
  <si>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</si>
  <si>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</si>
  <si>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</si>
  <si>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</si>
  <si>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</si>
  <si>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</si>
  <si>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</si>
  <si>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</si>
  <si>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</si>
  <si>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</si>
  <si>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</si>
  <si>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</si>
  <si>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</si>
  <si>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</si>
  <si>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</si>
  <si>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</si>
  <si>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</si>
  <si>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</si>
  <si>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</si>
  <si>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</si>
  <si>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</si>
  <si>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</si>
  <si>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</si>
  <si>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</si>
  <si>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</si>
  <si>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</si>
  <si>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</si>
  <si>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</si>
  <si>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</si>
  <si>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</si>
  <si>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</si>
  <si>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</si>
  <si>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</si>
  <si>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</si>
  <si>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</si>
  <si>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</si>
  <si>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</si>
  <si>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</si>
  <si>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</si>
  <si>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</si>
  <si>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</si>
  <si>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</si>
  <si>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</si>
  <si>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</si>
  <si>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</si>
  <si>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</si>
  <si>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</si>
  <si>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</si>
  <si>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</si>
  <si>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</si>
  <si>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</si>
  <si>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</si>
  <si>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</si>
  <si>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</si>
  <si>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</si>
  <si>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</si>
  <si>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</si>
  <si>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</si>
  <si>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</si>
  <si>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</si>
  <si>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</si>
  <si>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</si>
  <si>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</si>
  <si>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</si>
  <si>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</si>
  <si>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</si>
  <si>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</si>
  <si>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</si>
  <si>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</si>
  <si>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</si>
  <si>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</si>
  <si>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</si>
  <si>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</si>
  <si>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</si>
  <si>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</si>
  <si>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</si>
  <si>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</si>
  <si>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</si>
  <si>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</si>
  <si>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</si>
  <si>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</si>
  <si>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</si>
  <si>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</si>
  <si>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</si>
  <si>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</si>
  <si>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</si>
  <si>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</si>
  <si>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</si>
  <si>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</si>
  <si>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</si>
  <si>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</si>
  <si>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</si>
  <si>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</si>
  <si>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</si>
  <si>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</si>
  <si>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</si>
  <si>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</si>
  <si>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</si>
  <si>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</si>
  <si>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</si>
  <si>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</si>
  <si>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</si>
  <si>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</si>
  <si>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</si>
  <si>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</si>
  <si>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</si>
  <si>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</si>
  <si>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</si>
  <si>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</si>
  <si>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</si>
  <si>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</si>
  <si>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</si>
  <si>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</si>
  <si>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</si>
  <si>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</si>
  <si>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</si>
  <si>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</si>
  <si>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</si>
  <si>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</si>
  <si>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</si>
  <si>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</si>
  <si>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</si>
  <si>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</si>
  <si>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</si>
  <si>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</si>
  <si>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</si>
  <si>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</si>
  <si>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</si>
  <si>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</si>
  <si>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</si>
  <si>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</si>
  <si>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</si>
  <si>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</si>
  <si>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</si>
  <si>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</si>
  <si>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</si>
  <si>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</si>
  <si>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</si>
  <si>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</si>
  <si>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</si>
  <si>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</si>
  <si>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</si>
  <si>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</si>
  <si>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</si>
  <si>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</si>
  <si>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</si>
  <si>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</si>
  <si>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</si>
  <si>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</si>
  <si>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</si>
  <si>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</si>
  <si>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</si>
  <si>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</si>
  <si>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</si>
  <si>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</si>
  <si>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</si>
  <si>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</si>
  <si>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</si>
  <si>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</si>
  <si>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</si>
  <si>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</si>
  <si>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</si>
  <si>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</si>
  <si>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</si>
  <si>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</si>
  <si>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</si>
  <si>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</si>
  <si>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</si>
  <si>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</si>
  <si>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</si>
  <si>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</si>
  <si>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</si>
  <si>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</si>
  <si>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</si>
  <si>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</si>
  <si>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</si>
  <si>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</si>
  <si>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</si>
  <si>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</si>
  <si>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</si>
  <si>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</si>
  <si>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</si>
  <si>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</si>
  <si>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</si>
  <si>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</si>
  <si>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</si>
  <si>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</si>
  <si>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</si>
  <si>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</si>
  <si>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</si>
  <si>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</si>
  <si>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</si>
  <si>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</si>
  <si>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</si>
  <si>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</si>
  <si>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</si>
  <si>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</si>
  <si>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</si>
  <si>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</si>
  <si>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</si>
  <si>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</si>
  <si>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</si>
  <si>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</si>
  <si>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</si>
  <si>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</si>
  <si>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</si>
  <si>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</si>
  <si>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</si>
  <si>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</si>
  <si>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</si>
  <si>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</si>
  <si>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</si>
  <si>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</si>
  <si>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</si>
  <si>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</si>
  <si>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</si>
  <si>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</si>
  <si>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</si>
  <si>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</si>
  <si>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</si>
  <si>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</si>
  <si>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</si>
  <si>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</si>
  <si>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</si>
  <si>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</si>
  <si>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</si>
  <si>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</si>
  <si>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</si>
  <si>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</si>
  <si>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</si>
  <si>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</si>
  <si>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</si>
  <si>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</si>
  <si>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</si>
  <si>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</si>
  <si>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</si>
  <si>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</si>
  <si>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</si>
  <si>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</si>
  <si>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</si>
  <si>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</si>
  <si>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</si>
  <si>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</si>
  <si>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</si>
  <si>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</si>
  <si>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</si>
  <si>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</si>
  <si>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</si>
  <si>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</si>
  <si>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</si>
  <si>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</si>
  <si>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</si>
  <si>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</si>
  <si>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</si>
  <si>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</si>
  <si>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</si>
  <si>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</si>
  <si>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</si>
  <si>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</si>
  <si>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</si>
  <si>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</si>
  <si>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</si>
  <si>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</si>
  <si>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</si>
  <si>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</si>
  <si>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</si>
  <si>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</si>
  <si>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</si>
  <si>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</si>
  <si>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</si>
  <si>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</si>
  <si>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</si>
  <si>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</si>
  <si>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</si>
  <si>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</si>
  <si>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</si>
  <si>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</si>
  <si>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</si>
  <si>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</si>
  <si>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</si>
  <si>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</si>
  <si>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</si>
  <si>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</si>
  <si>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</si>
  <si>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</si>
  <si>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</si>
  <si>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</si>
  <si>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</si>
  <si>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</si>
  <si>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</si>
  <si>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</si>
  <si>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</si>
  <si>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</si>
  <si>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</si>
  <si>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</si>
  <si>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</si>
  <si>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</si>
  <si>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</si>
  <si>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</si>
  <si>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</si>
  <si>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</si>
  <si>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</si>
  <si>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</si>
  <si>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</si>
  <si>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</si>
  <si>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</si>
  <si>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</si>
  <si>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</si>
  <si>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</si>
  <si>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</si>
  <si>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</si>
  <si>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</si>
  <si>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</si>
  <si>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</si>
  <si>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</si>
  <si>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</si>
  <si>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</si>
  <si>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</si>
  <si>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</si>
  <si>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</si>
  <si>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</si>
  <si>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</si>
  <si>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</si>
  <si>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</si>
  <si>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</si>
  <si>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</si>
  <si>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</si>
  <si>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</si>
  <si>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</si>
  <si>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</si>
  <si>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</si>
  <si>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</si>
  <si>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</si>
  <si>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</si>
  <si>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</si>
  <si>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</si>
  <si>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</si>
  <si>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</si>
  <si>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</si>
  <si>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</si>
  <si>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</si>
  <si>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</si>
  <si>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</si>
  <si>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</si>
  <si>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</si>
  <si>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</si>
  <si>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</si>
  <si>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</si>
  <si>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</si>
  <si>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</si>
  <si>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</si>
  <si>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</si>
  <si>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</si>
  <si>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</si>
  <si>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</si>
  <si>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</si>
  <si>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</si>
  <si>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</si>
  <si>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</si>
  <si>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</si>
  <si>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</si>
  <si>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</si>
  <si>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</si>
  <si>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</si>
  <si>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</si>
  <si>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</si>
  <si>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</si>
  <si>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</si>
  <si>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</si>
  <si>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</si>
  <si>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</si>
  <si>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</si>
  <si>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</si>
  <si>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</si>
  <si>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</si>
  <si>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</si>
  <si>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</si>
  <si>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</si>
  <si>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</si>
  <si>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</si>
  <si>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</si>
  <si>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</si>
  <si>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</si>
  <si>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</si>
  <si>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</si>
  <si>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</si>
  <si>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</si>
  <si>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</si>
  <si>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</si>
  <si>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</si>
  <si>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</si>
  <si>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</si>
  <si>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</si>
  <si>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</si>
  <si>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</si>
  <si>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</si>
  <si>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</si>
  <si>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</si>
  <si>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</si>
  <si>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</si>
  <si>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</si>
  <si>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</si>
  <si>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</si>
  <si>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</si>
  <si>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</si>
  <si>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</si>
  <si>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</si>
  <si>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</si>
  <si>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</si>
  <si>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</si>
  <si>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</si>
  <si>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</si>
  <si>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</si>
  <si>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</si>
  <si>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</si>
  <si>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</si>
  <si>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</si>
  <si>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</si>
  <si>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</si>
  <si>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</si>
  <si>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</si>
  <si>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</si>
  <si>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</si>
  <si>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</si>
  <si>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</si>
  <si>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</si>
  <si>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</si>
  <si>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</si>
  <si>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</si>
  <si>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</si>
  <si>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</si>
  <si>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</si>
  <si>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</si>
  <si>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</si>
  <si>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</si>
  <si>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</si>
  <si>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</si>
  <si>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</si>
  <si>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</si>
  <si>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</si>
  <si>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</si>
  <si>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</si>
  <si>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</si>
  <si>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</si>
  <si>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</si>
  <si>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</si>
  <si>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</si>
  <si>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</si>
  <si>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</si>
  <si>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</si>
  <si>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</si>
  <si>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</si>
  <si>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</si>
  <si>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</si>
  <si>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</si>
  <si>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</si>
  <si>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</si>
  <si>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</si>
  <si>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</si>
  <si>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</si>
  <si>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</si>
  <si>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</si>
  <si>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</si>
  <si>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</si>
  <si>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</si>
  <si>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</si>
  <si>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</si>
  <si>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</si>
  <si>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</si>
  <si>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</si>
  <si>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</si>
  <si>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</si>
  <si>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</si>
  <si>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</si>
  <si>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</si>
  <si>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</si>
  <si>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</si>
  <si>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</si>
  <si>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</si>
  <si>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</si>
  <si>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</si>
  <si>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</si>
  <si>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</si>
  <si>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</si>
  <si>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</si>
  <si>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</si>
  <si>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</si>
  <si>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</si>
  <si>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</si>
  <si>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</si>
  <si>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</si>
  <si>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</si>
  <si>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</si>
  <si>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</si>
  <si>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</si>
  <si>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</si>
  <si>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</si>
  <si>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</si>
  <si>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</si>
  <si>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</si>
  <si>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</si>
  <si>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</si>
  <si>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</si>
  <si>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</si>
  <si>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</si>
  <si>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</si>
  <si>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</si>
  <si>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</si>
  <si>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</si>
  <si>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</si>
  <si>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</si>
  <si>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</si>
  <si>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</si>
  <si>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</si>
  <si>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</si>
  <si>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</si>
  <si>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</si>
  <si>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</si>
  <si>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</si>
  <si>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</si>
  <si>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</si>
  <si>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</si>
  <si>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</si>
  <si>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</si>
  <si>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</si>
  <si>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</si>
  <si>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</si>
  <si>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</si>
  <si>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</si>
  <si>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</si>
  <si>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</si>
  <si>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</si>
  <si>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</si>
  <si>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</si>
  <si>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</si>
  <si>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</si>
  <si>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</si>
  <si>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</si>
  <si>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</si>
  <si>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</si>
  <si>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</si>
  <si>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</si>
  <si>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</si>
  <si>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</si>
  <si>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</si>
  <si>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</si>
  <si>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</si>
  <si>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</si>
  <si>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</si>
  <si>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</si>
  <si>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</si>
  <si>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</si>
  <si>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</si>
  <si>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</si>
  <si>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</si>
  <si>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</si>
  <si>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</si>
  <si>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</si>
  <si>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</si>
  <si>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</si>
  <si>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</si>
  <si>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</si>
  <si>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</si>
  <si>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</si>
  <si>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</si>
  <si>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</si>
  <si>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</si>
  <si>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</si>
  <si>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</si>
  <si>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</si>
  <si>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</si>
  <si>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</si>
  <si>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</si>
  <si>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</si>
  <si>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</si>
  <si>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</si>
  <si>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</si>
  <si>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</si>
  <si>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</si>
  <si>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</si>
  <si>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</si>
  <si>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</si>
  <si>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</si>
  <si>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</si>
  <si>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</si>
  <si>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</si>
  <si>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</si>
  <si>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</si>
  <si>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</si>
  <si>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</si>
  <si>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</si>
  <si>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</si>
  <si>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</si>
  <si>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</si>
  <si>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</si>
  <si>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</si>
  <si>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</si>
  <si>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</si>
  <si>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</si>
  <si>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</si>
  <si>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</si>
  <si>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</si>
  <si>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</si>
  <si>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</si>
  <si>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</si>
  <si>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</si>
  <si>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</si>
  <si>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</si>
  <si>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</si>
  <si>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</si>
  <si>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</si>
  <si>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</si>
  <si>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</si>
  <si>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</si>
  <si>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</si>
  <si>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</si>
  <si>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</si>
  <si>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</si>
  <si>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</si>
  <si>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</si>
  <si>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</si>
  <si>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</si>
  <si>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</si>
  <si>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</si>
  <si>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</si>
  <si>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</si>
  <si>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</si>
  <si>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</si>
  <si>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</si>
  <si>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</si>
  <si>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</si>
  <si>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</si>
  <si>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</si>
  <si>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</si>
  <si>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</si>
  <si>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</si>
  <si>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</si>
  <si>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</si>
  <si>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</si>
  <si>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</si>
  <si>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</si>
  <si>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</si>
  <si>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</si>
  <si>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</si>
  <si>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</si>
  <si>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</si>
  <si>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</si>
  <si>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</si>
  <si>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</si>
  <si>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</si>
  <si>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</si>
  <si>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</si>
  <si>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</si>
  <si>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</si>
  <si>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</si>
  <si>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</si>
  <si>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</si>
  <si>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</si>
  <si>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</si>
  <si>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</si>
  <si>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</si>
  <si>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</si>
  <si>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</si>
  <si>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</si>
  <si>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</si>
  <si>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</si>
  <si>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</si>
  <si>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</si>
  <si>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</si>
  <si>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</si>
  <si>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</si>
  <si>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</si>
  <si>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</si>
  <si>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</si>
  <si>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</si>
  <si>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</si>
  <si>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</si>
  <si>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</si>
  <si>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</si>
  <si>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</si>
  <si>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</si>
  <si>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</si>
  <si>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</si>
  <si>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</si>
  <si>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</si>
  <si>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</si>
  <si>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</si>
  <si>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</si>
  <si>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</si>
  <si>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</si>
  <si>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</si>
  <si>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</si>
  <si>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</si>
  <si>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</si>
  <si>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</si>
  <si>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</si>
  <si>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</si>
  <si>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</si>
  <si>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</si>
  <si>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</si>
  <si>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</si>
  <si>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</si>
  <si>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</si>
  <si>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</si>
  <si>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</si>
  <si>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</si>
  <si>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</si>
  <si>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</si>
  <si>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</si>
  <si>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</si>
  <si>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</si>
  <si>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</si>
  <si>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</si>
  <si>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</si>
  <si>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</si>
  <si>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</si>
  <si>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</si>
  <si>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</si>
  <si>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</si>
  <si>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</si>
  <si>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</si>
  <si>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</si>
  <si>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</si>
  <si>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</si>
  <si>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</si>
  <si>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</si>
  <si>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</si>
  <si>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</si>
  <si>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</si>
  <si>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</si>
  <si>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</si>
  <si>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</si>
  <si>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</si>
  <si>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</si>
  <si>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</si>
  <si>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</si>
  <si>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</si>
  <si>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</si>
  <si>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</si>
  <si>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</si>
  <si>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</si>
  <si>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</si>
  <si>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</si>
  <si>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</si>
  <si>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</si>
  <si>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</si>
  <si>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</si>
  <si>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</si>
  <si>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</si>
  <si>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</si>
  <si>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</si>
  <si>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</si>
  <si>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</si>
  <si>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</si>
  <si>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</si>
  <si>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</si>
  <si>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</si>
  <si>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</si>
  <si>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</si>
  <si>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</si>
  <si>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</si>
  <si>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</si>
  <si>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</si>
  <si>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</si>
  <si>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</si>
  <si>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</si>
  <si>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</si>
  <si>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</si>
  <si>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</si>
  <si>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</si>
  <si>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</si>
  <si>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</si>
  <si>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</si>
  <si>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</si>
  <si>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</si>
  <si>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</si>
  <si>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</si>
  <si>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</si>
  <si>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</si>
  <si>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</si>
  <si>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</si>
  <si>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</si>
  <si>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</si>
  <si>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</si>
  <si>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</si>
  <si>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</si>
  <si>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</si>
  <si>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</si>
  <si>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</si>
  <si>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</si>
  <si>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</si>
  <si>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</si>
  <si>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</si>
  <si>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</si>
  <si>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</si>
  <si>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</si>
  <si>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</si>
  <si>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</si>
  <si>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</si>
  <si>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</si>
  <si>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</si>
  <si>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</si>
  <si>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</si>
  <si>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</si>
  <si>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</si>
  <si>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</si>
  <si>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</si>
  <si>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</si>
  <si>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</si>
  <si>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</si>
  <si>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</si>
  <si>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</si>
  <si>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</si>
  <si>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</si>
  <si>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</si>
  <si>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</si>
  <si>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</si>
  <si>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</si>
  <si>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</si>
  <si>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</si>
  <si>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</si>
  <si>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</si>
  <si>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</si>
  <si>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</si>
  <si>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</si>
  <si>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</si>
  <si>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</si>
  <si>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</si>
  <si>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</si>
  <si>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</si>
  <si>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</si>
  <si>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</si>
  <si>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</si>
  <si>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</si>
  <si>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</si>
  <si>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</si>
  <si>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</si>
  <si>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</si>
  <si>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</si>
  <si>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</si>
  <si>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</si>
  <si>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</si>
  <si>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</si>
  <si>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</si>
  <si>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</si>
  <si>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</si>
  <si>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</si>
  <si>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</si>
  <si>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</si>
  <si>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</si>
  <si>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</si>
  <si>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</si>
  <si>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</si>
  <si>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</si>
  <si>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</si>
  <si>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</si>
  <si>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</si>
  <si>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</si>
  <si>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</si>
  <si>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</si>
  <si>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</si>
  <si>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</si>
  <si>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</si>
  <si>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</si>
  <si>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</si>
  <si>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</si>
  <si>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</si>
  <si>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</si>
  <si>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</si>
  <si>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</si>
  <si>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</si>
  <si>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</si>
  <si>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</si>
  <si>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</si>
  <si>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</si>
  <si>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</si>
  <si>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</si>
  <si>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</si>
  <si>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</si>
  <si>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</si>
  <si>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</si>
  <si>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</si>
  <si>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</si>
  <si>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</si>
  <si>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</si>
  <si>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</si>
  <si>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</si>
  <si>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</si>
  <si>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</si>
  <si>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</si>
  <si>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</si>
  <si>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</si>
  <si>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</si>
  <si>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</si>
  <si>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</si>
  <si>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</si>
  <si>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</si>
  <si>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</si>
  <si>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</si>
  <si>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</si>
  <si>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</si>
  <si>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</si>
  <si>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</si>
  <si>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</si>
  <si>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</si>
  <si>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</si>
  <si>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</si>
  <si>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</si>
  <si>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</si>
  <si>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</si>
  <si>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</si>
  <si>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</si>
  <si>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</si>
  <si>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</si>
  <si>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</si>
  <si>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</si>
  <si>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</si>
  <si>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</si>
  <si>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</si>
  <si>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</si>
  <si>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</si>
  <si>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</si>
  <si>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</si>
  <si>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</si>
  <si>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</si>
  <si>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</si>
  <si>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</si>
  <si>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</si>
  <si>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</si>
  <si>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</si>
  <si>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</si>
  <si>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</si>
  <si>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</si>
  <si>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</si>
  <si>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</si>
  <si>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</si>
  <si>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</si>
  <si>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</si>
  <si>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</si>
  <si>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</si>
  <si>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</si>
  <si>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</si>
  <si>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</si>
  <si>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</si>
  <si>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</si>
  <si>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</si>
  <si>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</si>
  <si>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</si>
  <si>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</si>
  <si>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</si>
  <si>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</si>
  <si>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</si>
  <si>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</si>
  <si>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</si>
  <si>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</si>
  <si>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</si>
  <si>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</si>
  <si>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</si>
  <si>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</si>
  <si>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</si>
  <si>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</si>
  <si>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</si>
  <si>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</si>
  <si>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</si>
  <si>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</si>
  <si>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</si>
  <si>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</si>
  <si>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</si>
  <si>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</si>
  <si>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</si>
  <si>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</si>
  <si>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</si>
  <si>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</si>
  <si>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</si>
  <si>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</si>
  <si>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</si>
  <si>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</si>
  <si>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</si>
  <si>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</si>
  <si>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</si>
  <si>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</si>
  <si>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</si>
  <si>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</si>
  <si>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</si>
  <si>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</si>
  <si>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</si>
  <si>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</si>
  <si>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</si>
  <si>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</si>
  <si>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</si>
  <si>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</si>
  <si>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</si>
  <si>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</si>
  <si>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</si>
  <si>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</si>
  <si>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</si>
  <si>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</si>
  <si>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</si>
  <si>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</si>
  <si>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</si>
  <si>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</si>
  <si>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</si>
  <si>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</si>
  <si>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</si>
  <si>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</si>
  <si>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</si>
  <si>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</si>
  <si>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</si>
  <si>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</si>
  <si>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</si>
  <si>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</si>
  <si>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</si>
  <si>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</si>
  <si>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</si>
  <si>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</si>
  <si>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</si>
  <si>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</si>
  <si>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</si>
  <si>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</si>
  <si>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</si>
  <si>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</si>
  <si>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</si>
  <si>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</si>
  <si>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</si>
  <si>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</si>
  <si>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</si>
  <si>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</si>
  <si>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</si>
  <si>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</si>
  <si>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</si>
  <si>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</si>
  <si>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</si>
  <si>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</si>
  <si>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</si>
  <si>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</si>
  <si>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</si>
  <si>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</si>
  <si>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</si>
  <si>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</si>
  <si>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</si>
  <si>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</si>
  <si>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</si>
  <si>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</si>
  <si>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</si>
  <si>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</si>
  <si>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</si>
  <si>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</si>
  <si>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</si>
  <si>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</si>
  <si>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</si>
  <si>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</si>
  <si>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</si>
  <si>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</si>
  <si>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</si>
  <si>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</si>
  <si>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</si>
  <si>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</si>
  <si>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</si>
  <si>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</si>
  <si>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</si>
  <si>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</si>
  <si>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</si>
  <si>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</si>
  <si>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</si>
  <si>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</si>
  <si>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</si>
  <si>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</si>
  <si>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</si>
  <si>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</si>
  <si>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</si>
  <si>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</si>
  <si>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</si>
  <si>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</si>
  <si>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</si>
  <si>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</si>
  <si>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</si>
  <si>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</si>
  <si>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</si>
  <si>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</si>
  <si>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</si>
  <si>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</si>
  <si>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</si>
  <si>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</si>
  <si>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</si>
  <si>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</si>
  <si>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</si>
  <si>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</si>
  <si>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</si>
  <si>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</si>
  <si>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</si>
  <si>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</si>
  <si>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</si>
  <si>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</si>
  <si>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</si>
  <si>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</si>
  <si>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</si>
  <si>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</si>
  <si>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</si>
  <si>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</si>
  <si>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</si>
  <si>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</si>
  <si>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</si>
  <si>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</si>
  <si>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</si>
  <si>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</si>
  <si>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</si>
  <si>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</si>
  <si>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</si>
  <si>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</si>
  <si>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</si>
  <si>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</si>
  <si>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</si>
  <si>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</si>
  <si>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</si>
  <si>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</si>
  <si>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</si>
  <si>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</si>
  <si>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</si>
  <si>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</si>
  <si>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</si>
  <si>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</si>
  <si>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</si>
  <si>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</si>
  <si>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</si>
  <si>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</si>
  <si>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</si>
  <si>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</si>
  <si>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</si>
  <si>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</si>
  <si>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</si>
  <si>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</si>
  <si>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</si>
  <si>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</si>
  <si>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</si>
  <si>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</si>
  <si>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</si>
  <si>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</si>
  <si>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</si>
  <si>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</si>
  <si>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</si>
  <si>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</si>
  <si>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</si>
  <si>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</si>
  <si>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</si>
  <si>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</si>
  <si>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</si>
  <si>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</si>
  <si>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</si>
  <si>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</si>
  <si>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</si>
  <si>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</si>
  <si>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</si>
  <si>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</si>
  <si>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</si>
  <si>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</si>
  <si>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</si>
  <si>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</si>
  <si>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</si>
  <si>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</si>
  <si>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</si>
  <si>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</si>
  <si>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</si>
  <si>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</si>
  <si>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</si>
  <si>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</si>
  <si>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</si>
  <si>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</si>
  <si>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</si>
  <si>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</si>
  <si>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</si>
  <si>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</si>
  <si>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</si>
  <si>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</si>
  <si>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</si>
  <si>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</si>
  <si>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</si>
  <si>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</si>
  <si>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</si>
  <si>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</si>
  <si>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</si>
  <si>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</si>
  <si>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</si>
  <si>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</si>
  <si>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</si>
  <si>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</si>
  <si>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</si>
  <si>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</si>
  <si>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</si>
  <si>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</si>
  <si>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</si>
  <si>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</si>
  <si>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</si>
  <si>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</si>
  <si>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</si>
  <si>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</si>
  <si>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</si>
  <si>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</si>
  <si>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</si>
  <si>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</si>
  <si>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</si>
  <si>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</si>
  <si>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</si>
  <si>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</si>
  <si>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</si>
  <si>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</si>
  <si>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</si>
  <si>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</si>
  <si>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</si>
  <si>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</si>
  <si>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</si>
  <si>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</si>
  <si>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</si>
  <si>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</si>
  <si>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</si>
  <si>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</si>
  <si>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</si>
  <si>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</si>
  <si>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</si>
  <si>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</si>
  <si>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</si>
  <si>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</si>
  <si>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</si>
  <si>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</si>
  <si>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</si>
  <si>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</si>
  <si>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</si>
  <si>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</si>
  <si>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</si>
  <si>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</si>
  <si>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</si>
  <si>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</si>
  <si>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</si>
  <si>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</si>
  <si>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</si>
  <si>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</si>
  <si>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</si>
  <si>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</si>
  <si>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</si>
  <si>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</si>
  <si>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</si>
  <si>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</si>
  <si>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</si>
  <si>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</si>
  <si>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</si>
  <si>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</si>
  <si>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</si>
  <si>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</si>
  <si>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</si>
  <si>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</si>
  <si>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</si>
  <si>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</si>
  <si>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</si>
  <si>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</si>
  <si>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</si>
  <si>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</si>
  <si>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</si>
  <si>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</si>
  <si>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</si>
  <si>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</si>
  <si>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</si>
  <si>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</si>
  <si>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</si>
  <si>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</si>
  <si>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</si>
  <si>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</si>
  <si>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</si>
  <si>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</si>
  <si>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</si>
  <si>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</si>
  <si>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</si>
  <si>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</si>
  <si>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</si>
  <si>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</si>
  <si>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</si>
  <si>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</si>
  <si>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</si>
  <si>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</si>
  <si>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</si>
  <si>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</si>
  <si>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</si>
  <si>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</si>
  <si>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</si>
  <si>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</si>
  <si>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</si>
  <si>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</si>
  <si>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</si>
  <si>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</si>
  <si>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</si>
  <si>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</si>
  <si>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</si>
  <si>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</si>
  <si>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</si>
  <si>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</si>
  <si>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</si>
  <si>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</si>
  <si>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</si>
  <si>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</si>
  <si>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</si>
  <si>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</si>
  <si>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</si>
  <si>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</si>
  <si>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</si>
  <si>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</si>
  <si>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</si>
  <si>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</si>
  <si>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</si>
  <si>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</si>
  <si>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</si>
  <si>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</si>
  <si>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</si>
  <si>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</si>
  <si>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</si>
  <si>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</si>
  <si>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</si>
  <si>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</si>
  <si>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</si>
  <si>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</si>
  <si>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</si>
  <si>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</si>
  <si>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</si>
  <si>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</si>
  <si>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</si>
  <si>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</si>
  <si>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</si>
  <si>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</si>
  <si>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</si>
  <si>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</si>
  <si>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</si>
  <si>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</si>
  <si>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</si>
  <si>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</si>
  <si>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</si>
  <si>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</si>
  <si>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</si>
  <si>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</si>
  <si>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</si>
  <si>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</si>
  <si>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</si>
  <si>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</si>
  <si>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</si>
  <si>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</si>
  <si>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</si>
  <si>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</si>
  <si>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</si>
  <si>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</si>
  <si>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</si>
  <si>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</si>
  <si>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</si>
  <si>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</si>
  <si>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</si>
  <si>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</si>
  <si>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</si>
  <si>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</si>
  <si>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</si>
  <si>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</si>
  <si>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</si>
  <si>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</si>
  <si>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</si>
  <si>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</si>
  <si>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</si>
  <si>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</si>
  <si>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</si>
  <si>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</si>
  <si>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</si>
  <si>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</si>
  <si>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</si>
  <si>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</si>
  <si>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</si>
  <si>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</si>
  <si>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</si>
  <si>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</si>
  <si>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</si>
  <si>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</si>
  <si>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</si>
  <si>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</si>
  <si>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</si>
  <si>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</si>
  <si>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</si>
  <si>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</si>
  <si>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</si>
  <si>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</si>
  <si>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</si>
  <si>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</si>
  <si>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</si>
  <si>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</si>
  <si>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</si>
  <si>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</si>
  <si>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</si>
  <si>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</si>
  <si>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</si>
  <si>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</si>
  <si>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</si>
  <si>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</si>
  <si>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</si>
  <si>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</si>
  <si>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</si>
  <si>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</si>
  <si>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</si>
  <si>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</si>
  <si>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</si>
  <si>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</si>
  <si>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</si>
  <si>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</si>
  <si>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</si>
  <si>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</si>
  <si>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</si>
  <si>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</si>
  <si>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</si>
  <si>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</si>
  <si>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</si>
  <si>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</si>
  <si>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</si>
  <si>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</si>
  <si>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</si>
  <si>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</si>
  <si>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</si>
  <si>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</si>
  <si>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</si>
  <si>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</si>
  <si>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</si>
  <si>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</si>
  <si>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</si>
  <si>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</si>
  <si>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</si>
  <si>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</si>
  <si>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</si>
  <si>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</si>
  <si>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</si>
  <si>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</si>
  <si>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</si>
  <si>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</si>
  <si>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</si>
  <si>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</si>
  <si>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</si>
  <si>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</si>
  <si>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</si>
  <si>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</si>
  <si>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</si>
  <si>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</si>
  <si>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</si>
  <si>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</si>
  <si>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</si>
  <si>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</si>
  <si>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</si>
  <si>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</si>
  <si>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</si>
  <si>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</si>
  <si>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</si>
  <si>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</si>
  <si>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</si>
  <si>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</si>
  <si>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</si>
  <si>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</si>
  <si>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</si>
  <si>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</si>
  <si>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</si>
  <si>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</si>
  <si>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</si>
  <si>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</si>
  <si>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</si>
  <si>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</si>
  <si>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</si>
  <si>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</si>
  <si>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</si>
  <si>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</si>
  <si>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</si>
  <si>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</si>
  <si>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</si>
  <si>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</si>
  <si>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</si>
  <si>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</si>
  <si>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</si>
  <si>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</si>
  <si>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</si>
  <si>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</si>
  <si>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</si>
  <si>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</si>
  <si>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</si>
  <si>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</si>
  <si>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</si>
  <si>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</si>
  <si>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</si>
  <si>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</si>
  <si>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</si>
  <si>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</si>
  <si>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</si>
  <si>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</si>
  <si>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</si>
  <si>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</si>
  <si>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</si>
  <si>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</si>
  <si>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</si>
  <si>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</si>
  <si>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</si>
  <si>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</si>
  <si>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</si>
  <si>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</si>
  <si>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</si>
  <si>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</si>
  <si>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</si>
  <si>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</si>
  <si>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</si>
  <si>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</si>
  <si>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</si>
  <si>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</si>
  <si>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</si>
  <si>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</si>
  <si>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</si>
  <si>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</si>
  <si>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</si>
  <si>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</si>
  <si>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</si>
  <si>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</si>
  <si>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</si>
  <si>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</si>
  <si>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</si>
  <si>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</si>
  <si>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</si>
  <si>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</si>
  <si>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</si>
  <si>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</si>
  <si>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</si>
  <si>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</si>
  <si>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</si>
  <si>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</si>
  <si>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</si>
  <si>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</si>
  <si>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</si>
  <si>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</si>
  <si>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</si>
  <si>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</si>
  <si>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</si>
  <si>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</si>
  <si>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</si>
  <si>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</si>
  <si>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</si>
  <si>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</si>
  <si>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</si>
  <si>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</si>
  <si>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</si>
  <si>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</si>
  <si>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</si>
  <si>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</si>
  <si>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</si>
  <si>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</si>
  <si>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</si>
  <si>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</si>
  <si>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</si>
  <si>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</si>
  <si>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</si>
  <si>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</si>
  <si>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</si>
  <si>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</si>
  <si>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</si>
  <si>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</si>
  <si>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</si>
  <si>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</si>
  <si>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</si>
  <si>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</si>
  <si>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</si>
  <si>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</si>
  <si>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</si>
  <si>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</si>
  <si>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</si>
  <si>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</si>
  <si>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</si>
  <si>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</si>
  <si>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</si>
  <si>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</si>
  <si>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</si>
  <si>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</si>
  <si>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</si>
  <si>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</si>
  <si>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</si>
  <si>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</si>
  <si>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</si>
  <si>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</si>
  <si>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</si>
  <si>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</si>
  <si>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</si>
  <si>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</si>
  <si>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</si>
  <si>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</si>
  <si>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</si>
  <si>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</si>
  <si>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</si>
  <si>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</si>
  <si>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</si>
  <si>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</si>
  <si>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</si>
  <si>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</si>
  <si>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</si>
  <si>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</si>
  <si>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</si>
  <si>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</si>
  <si>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</si>
  <si>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</si>
  <si>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</si>
  <si>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</si>
  <si>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</si>
  <si>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</si>
  <si>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</si>
  <si>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</si>
  <si>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</si>
  <si>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</si>
  <si>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</si>
  <si>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</si>
  <si>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</si>
  <si>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</si>
  <si>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</si>
  <si>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</si>
  <si>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</si>
  <si>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</si>
  <si>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</si>
  <si>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</si>
  <si>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</si>
  <si>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</si>
  <si>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</si>
  <si>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</si>
  <si>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</si>
  <si>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</si>
  <si>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</si>
  <si>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</si>
  <si>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</si>
  <si>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</si>
  <si>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</si>
  <si>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</si>
  <si>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</si>
  <si>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</si>
  <si>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</si>
  <si>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</si>
  <si>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</si>
  <si>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</si>
  <si>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</si>
  <si>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</si>
  <si>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</si>
  <si>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</si>
  <si>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</si>
  <si>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</si>
  <si>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</si>
  <si>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</si>
  <si>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</si>
  <si>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</si>
  <si>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</si>
  <si>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</si>
  <si>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</si>
  <si>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</si>
  <si>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</si>
  <si>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</si>
  <si>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</si>
  <si>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</si>
  <si>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</si>
  <si>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</si>
  <si>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</si>
  <si>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</si>
  <si>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</si>
  <si>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</si>
  <si>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</si>
  <si>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</si>
  <si>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</si>
  <si>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</si>
  <si>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</si>
  <si>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</si>
  <si>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</si>
  <si>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</si>
  <si>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</si>
  <si>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</si>
  <si>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</si>
  <si>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</si>
  <si>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</si>
  <si>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</si>
  <si>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</si>
  <si>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</si>
  <si>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</si>
  <si>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</si>
  <si>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</si>
  <si>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</si>
  <si>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</si>
  <si>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</si>
  <si>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</si>
  <si>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</si>
  <si>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</si>
  <si>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</si>
  <si>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</si>
  <si>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</si>
  <si>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</si>
  <si>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</si>
  <si>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</si>
  <si>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</si>
  <si>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</si>
  <si>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</si>
  <si>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</si>
  <si>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</si>
  <si>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</si>
  <si>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</si>
  <si>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</si>
  <si>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</si>
  <si>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</si>
  <si>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</si>
  <si>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</si>
  <si>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</si>
  <si>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</si>
  <si>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</si>
  <si>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</si>
  <si>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</si>
  <si>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</si>
  <si>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</si>
  <si>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</si>
  <si>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</si>
  <si>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</si>
  <si>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</si>
  <si>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</si>
  <si>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</si>
  <si>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</si>
  <si>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</si>
  <si>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</si>
  <si>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</si>
  <si>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</si>
  <si>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</si>
  <si>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</si>
  <si>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</si>
  <si>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</si>
  <si>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</si>
  <si>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</si>
  <si>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</si>
  <si>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</si>
  <si>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</si>
  <si>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</si>
  <si>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</si>
  <si>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</si>
  <si>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</si>
  <si>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</si>
  <si>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</si>
  <si>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</si>
  <si>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</si>
  <si>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</si>
  <si>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</si>
  <si>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</si>
  <si>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</si>
  <si>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</si>
  <si>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</si>
  <si>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</si>
  <si>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</si>
  <si>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</si>
  <si>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</si>
  <si>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</si>
  <si>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</si>
  <si>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</si>
  <si>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</si>
  <si>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</si>
  <si>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</si>
  <si>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</si>
  <si>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</si>
  <si>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</si>
  <si>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</si>
  <si>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</si>
  <si>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</si>
  <si>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</si>
  <si>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</si>
  <si>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</si>
  <si>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</si>
  <si>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</si>
  <si>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</si>
  <si>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</si>
  <si>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</si>
  <si>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</si>
  <si>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</si>
  <si>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</si>
  <si>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</si>
  <si>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</si>
  <si>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</si>
  <si>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</si>
  <si>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</si>
  <si>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</si>
  <si>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</si>
  <si>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</si>
  <si>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</si>
  <si>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</si>
  <si>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</si>
  <si>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</si>
  <si>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</si>
  <si>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</si>
  <si>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</si>
  <si>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</si>
  <si>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</si>
  <si>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</si>
  <si>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</si>
  <si>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</si>
  <si>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</si>
  <si>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</si>
  <si>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</si>
  <si>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</si>
  <si>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</si>
  <si>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</si>
  <si>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</si>
  <si>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</si>
  <si>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</si>
  <si>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</si>
  <si>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</si>
  <si>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</si>
  <si>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</si>
  <si>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</si>
  <si>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</si>
  <si>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</si>
  <si>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</si>
  <si>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</si>
  <si>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</si>
  <si>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</si>
  <si>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</si>
  <si>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</si>
  <si>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</si>
  <si>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</si>
  <si>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</si>
  <si>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</si>
  <si>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</si>
  <si>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</si>
  <si>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</si>
  <si>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</si>
  <si>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</si>
  <si>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</si>
  <si>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</si>
  <si>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</si>
  <si>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</si>
  <si>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</si>
  <si>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</si>
  <si>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</si>
  <si>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</si>
  <si>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</si>
  <si>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</si>
  <si>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</si>
  <si>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</si>
  <si>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</si>
  <si>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</si>
  <si>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</si>
  <si>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</si>
  <si>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</si>
  <si>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</si>
  <si>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</si>
  <si>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</si>
  <si>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</si>
  <si>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</si>
  <si>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</si>
  <si>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</si>
  <si>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</si>
  <si>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</si>
  <si>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</si>
  <si>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</si>
  <si>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</si>
  <si>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</si>
  <si>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</si>
  <si>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</si>
  <si>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</si>
  <si>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</si>
  <si>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</si>
  <si>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</si>
  <si>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</si>
  <si>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</si>
  <si>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</si>
  <si>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</si>
  <si>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</si>
  <si>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</si>
  <si>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</si>
  <si>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</si>
  <si>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</si>
  <si>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</si>
  <si>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</si>
  <si>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</si>
  <si>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</si>
  <si>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</si>
  <si>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</si>
  <si>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</si>
  <si>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</si>
  <si>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</si>
  <si>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</si>
  <si>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</si>
  <si>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</si>
  <si>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</si>
  <si>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</si>
  <si>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</si>
  <si>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</si>
  <si>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</si>
  <si>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</si>
  <si>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</si>
  <si>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</si>
  <si>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</si>
  <si>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</si>
  <si>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</si>
  <si>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</si>
  <si>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</si>
  <si>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</si>
  <si>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</si>
  <si>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</si>
  <si>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</si>
  <si>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</si>
  <si>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</si>
  <si>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</si>
  <si>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</si>
  <si>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</si>
  <si>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</si>
  <si>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</si>
  <si>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</si>
  <si>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</si>
  <si>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</si>
  <si>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</si>
  <si>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</si>
  <si>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</si>
  <si>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</si>
  <si>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</si>
  <si>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</si>
  <si>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</si>
  <si>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</si>
  <si>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</si>
  <si>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</si>
  <si>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</si>
  <si>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</si>
  <si>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</si>
  <si>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</si>
  <si>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</si>
  <si>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</si>
  <si>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</si>
  <si>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</si>
  <si>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</si>
  <si>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</si>
  <si>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</si>
  <si>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</si>
  <si>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</si>
  <si>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</si>
  <si>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</si>
  <si>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</si>
  <si>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</si>
  <si>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</si>
  <si>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</si>
  <si>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</si>
  <si>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</si>
  <si>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</si>
  <si>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</si>
  <si>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</si>
  <si>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</si>
  <si>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</si>
  <si>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</si>
  <si>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</si>
  <si>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</si>
  <si>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</si>
  <si>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</si>
  <si>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</si>
  <si>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</si>
  <si>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</si>
  <si>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</si>
  <si>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</si>
  <si>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</si>
  <si>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</si>
  <si>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</si>
  <si>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</si>
  <si>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</si>
  <si>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</si>
  <si>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</si>
  <si>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</si>
  <si>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</si>
  <si>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</si>
  <si>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</si>
  <si>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</si>
  <si>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</si>
  <si>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</si>
  <si>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</si>
  <si>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</si>
  <si>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</si>
  <si>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</si>
  <si>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</si>
  <si>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</si>
  <si>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</si>
  <si>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</si>
  <si>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</si>
  <si>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</si>
  <si>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</si>
  <si>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</si>
  <si>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</si>
  <si>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</si>
  <si>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</si>
  <si>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</si>
  <si>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</si>
  <si>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</si>
  <si>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</si>
  <si>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</si>
  <si>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</si>
  <si>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</si>
  <si>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</si>
  <si>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</si>
  <si>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</si>
  <si>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</si>
  <si>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</si>
  <si>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</si>
  <si>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</si>
  <si>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</si>
  <si>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</si>
  <si>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</si>
  <si>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</si>
  <si>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</si>
  <si>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</si>
  <si>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</si>
  <si>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</si>
  <si>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</si>
  <si>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</si>
  <si>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</si>
  <si>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</si>
  <si>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</si>
  <si>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</si>
  <si>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</si>
  <si>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</si>
  <si>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</si>
  <si>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</si>
  <si>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</si>
  <si>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</si>
  <si>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</si>
  <si>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</si>
  <si>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</si>
  <si>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</si>
  <si>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</si>
  <si>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</si>
  <si>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</si>
  <si>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</si>
  <si>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</si>
  <si>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</si>
  <si>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</si>
  <si>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</si>
  <si>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</si>
  <si>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</si>
  <si>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</si>
  <si>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</si>
  <si>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</si>
  <si>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</si>
  <si>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</si>
  <si>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</si>
  <si>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</si>
  <si>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</si>
  <si>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</si>
  <si>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</si>
  <si>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</si>
  <si>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</si>
  <si>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</si>
  <si>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</si>
  <si>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</si>
  <si>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</si>
  <si>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</si>
  <si>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</si>
  <si>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</si>
  <si>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</si>
  <si>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</si>
  <si>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</si>
  <si>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</si>
  <si>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</si>
  <si>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</si>
  <si>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</si>
  <si>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</si>
  <si>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</si>
  <si>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</si>
  <si>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</si>
  <si>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</si>
  <si>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</si>
  <si>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</si>
  <si>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</si>
  <si>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</si>
  <si>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</si>
  <si>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</si>
  <si>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</si>
  <si>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</si>
  <si>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</si>
  <si>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</si>
  <si>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</si>
  <si>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</si>
  <si>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</si>
  <si>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</si>
  <si>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</si>
  <si>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</si>
  <si>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</si>
  <si>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</si>
  <si>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</si>
  <si>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</si>
  <si>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</si>
  <si>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</si>
  <si>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</si>
  <si>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</si>
  <si>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</si>
  <si>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</si>
  <si>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</si>
  <si>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</si>
  <si>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</si>
  <si>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</si>
  <si>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</si>
  <si>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</si>
  <si>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</si>
  <si>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</si>
  <si>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</si>
  <si>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</si>
  <si>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</si>
  <si>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</si>
  <si>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</si>
  <si>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</si>
  <si>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</si>
  <si>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</si>
  <si>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</si>
  <si>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</si>
  <si>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</si>
  <si>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</si>
  <si>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</si>
  <si>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</si>
  <si>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</si>
  <si>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</si>
  <si>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</si>
  <si>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</si>
  <si>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</si>
  <si>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</si>
  <si>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</si>
  <si>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</si>
  <si>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</si>
  <si>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</si>
  <si>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</si>
  <si>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</si>
  <si>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</si>
  <si>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</si>
  <si>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</si>
  <si>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</si>
  <si>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</si>
  <si>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</si>
  <si>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</si>
  <si>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</si>
  <si>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</si>
  <si>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</si>
  <si>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</si>
  <si>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</si>
  <si>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</si>
  <si>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</si>
  <si>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</si>
  <si>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</si>
  <si>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</si>
  <si>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</si>
  <si>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</si>
  <si>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</si>
  <si>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</si>
  <si>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</si>
  <si>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</si>
  <si>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</si>
  <si>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</si>
  <si>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</si>
  <si>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</si>
  <si>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</si>
  <si>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</si>
  <si>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</si>
  <si>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</si>
  <si>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</si>
  <si>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</si>
  <si>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</si>
  <si>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</si>
  <si>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</si>
  <si>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</si>
  <si>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</si>
  <si>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</si>
  <si>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</si>
  <si>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</si>
  <si>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</si>
  <si>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</si>
  <si>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</si>
  <si>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</si>
  <si>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</si>
  <si>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</si>
  <si>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</si>
  <si>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</si>
  <si>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</si>
  <si>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</si>
  <si>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</si>
  <si>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</si>
  <si>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</si>
  <si>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</si>
  <si>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</si>
  <si>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</si>
  <si>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</si>
  <si>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</si>
  <si>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</si>
  <si>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</si>
  <si>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</si>
  <si>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</si>
  <si>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</si>
  <si>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</si>
  <si>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</si>
  <si>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</si>
  <si>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</si>
  <si>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</si>
  <si>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</si>
  <si>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</si>
  <si>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</si>
  <si>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</si>
  <si>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</si>
  <si>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</si>
  <si>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</si>
  <si>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</si>
  <si>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</si>
  <si>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</si>
  <si>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</si>
  <si>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</si>
  <si>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</si>
  <si>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</si>
  <si>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</si>
  <si>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</si>
  <si>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</si>
  <si>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</si>
  <si>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</si>
  <si>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</si>
  <si>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</si>
  <si>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</si>
  <si>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</si>
  <si>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</si>
  <si>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</si>
  <si>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</si>
  <si>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</si>
  <si>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</si>
  <si>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</si>
  <si>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</si>
  <si>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</si>
  <si>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</si>
  <si>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</si>
  <si>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</si>
  <si>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</si>
  <si>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</si>
  <si>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</si>
  <si>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</si>
  <si>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</si>
  <si>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</si>
  <si>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</si>
  <si>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</si>
  <si>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</si>
  <si>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</si>
  <si>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</si>
  <si>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</si>
  <si>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</si>
  <si>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</si>
  <si>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</si>
  <si>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</si>
  <si>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</si>
  <si>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</si>
  <si>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</si>
  <si>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</si>
  <si>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</si>
  <si>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</si>
  <si>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</si>
  <si>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</si>
  <si>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</si>
  <si>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</si>
  <si>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</si>
  <si>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</si>
  <si>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</si>
  <si>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</si>
  <si>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</si>
  <si>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</si>
  <si>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</si>
  <si>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</si>
  <si>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</si>
  <si>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</si>
  <si>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</si>
  <si>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</si>
  <si>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</si>
  <si>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</si>
  <si>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</si>
  <si>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</si>
  <si>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</si>
  <si>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</si>
  <si>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</si>
  <si>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</si>
  <si>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</si>
  <si>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</si>
  <si>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</si>
  <si>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</si>
  <si>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</si>
  <si>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</si>
  <si>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</si>
  <si>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</si>
  <si>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</si>
  <si>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</si>
  <si>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</si>
  <si>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</si>
  <si>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</si>
  <si>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</si>
  <si>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</si>
  <si>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</si>
  <si>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</si>
  <si>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</si>
  <si>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</si>
  <si>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</si>
  <si>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</si>
  <si>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</si>
  <si>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</si>
  <si>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</si>
  <si>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</si>
  <si>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</si>
  <si>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</si>
  <si>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</si>
  <si>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</si>
  <si>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</si>
  <si>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</si>
  <si>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</si>
  <si>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</si>
  <si>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</si>
  <si>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</si>
  <si>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</si>
  <si>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</si>
  <si>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</si>
  <si>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</si>
  <si>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</si>
  <si>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</si>
  <si>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</si>
  <si>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</si>
  <si>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</si>
  <si>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</si>
  <si>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</si>
  <si>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</si>
  <si>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</si>
  <si>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</si>
  <si>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</si>
  <si>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</si>
  <si>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</si>
  <si>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</si>
  <si>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</si>
  <si>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</si>
  <si>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</si>
  <si>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</si>
  <si>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</si>
  <si>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</si>
  <si>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</si>
  <si>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</si>
  <si>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</si>
  <si>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</si>
  <si>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</si>
  <si>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</si>
  <si>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</si>
  <si>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</si>
  <si>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</si>
  <si>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</si>
  <si>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</si>
  <si>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</si>
  <si>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</si>
  <si>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</si>
  <si>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</si>
  <si>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</si>
  <si>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</si>
  <si>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</si>
  <si>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</si>
  <si>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</si>
  <si>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</si>
  <si>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</si>
  <si>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</si>
  <si>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</si>
  <si>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</si>
  <si>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</si>
  <si>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</si>
  <si>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</si>
  <si>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</si>
  <si>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</si>
  <si>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</si>
  <si>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</si>
  <si>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</si>
  <si>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</si>
  <si>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</si>
  <si>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</si>
  <si>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</si>
  <si>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</si>
  <si>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</si>
  <si>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</si>
  <si>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</si>
  <si>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</si>
  <si>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</si>
  <si>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</si>
  <si>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</si>
  <si>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</si>
  <si>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</si>
  <si>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</si>
  <si>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</si>
  <si>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</si>
  <si>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</si>
  <si>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</si>
  <si>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</si>
  <si>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</si>
  <si>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</si>
  <si>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</si>
  <si>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</si>
  <si>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</si>
  <si>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</si>
  <si>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</si>
  <si>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</si>
  <si>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</si>
  <si>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</si>
  <si>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</si>
  <si>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</si>
  <si>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</si>
  <si>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</si>
  <si>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</si>
  <si>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</si>
  <si>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</si>
  <si>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</si>
  <si>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</si>
  <si>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</si>
  <si>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</si>
  <si>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</si>
  <si>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</si>
  <si>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</si>
  <si>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</si>
  <si>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</si>
  <si>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</si>
  <si>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</si>
  <si>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</si>
  <si>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</si>
  <si>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</si>
  <si>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</si>
  <si>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</si>
  <si>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</si>
  <si>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</si>
  <si>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</si>
  <si>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</si>
  <si>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</si>
  <si>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</si>
  <si>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</si>
  <si>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</si>
  <si>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</si>
  <si>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</si>
  <si>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</si>
  <si>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</si>
  <si>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</si>
  <si>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</si>
  <si>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</si>
  <si>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</si>
  <si>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</si>
  <si>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</si>
  <si>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</si>
  <si>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</si>
  <si>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</si>
  <si>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</si>
  <si>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</si>
  <si>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</si>
  <si>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</si>
  <si>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</si>
  <si>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</si>
  <si>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</si>
  <si>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</si>
  <si>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</si>
  <si>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</si>
  <si>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</si>
  <si>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</si>
  <si>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</si>
  <si>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</si>
  <si>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</si>
  <si>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</si>
  <si>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</si>
  <si>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</si>
  <si>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</si>
  <si>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</si>
  <si>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</si>
  <si>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</si>
  <si>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</si>
  <si>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</si>
  <si>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</si>
  <si>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</si>
  <si>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</si>
  <si>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</si>
  <si>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</si>
  <si>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</si>
  <si>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</si>
  <si>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</si>
  <si>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</si>
  <si>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</si>
  <si>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</si>
  <si>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</si>
  <si>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</si>
  <si>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</si>
  <si>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</si>
  <si>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</si>
  <si>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</si>
  <si>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</si>
  <si>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</si>
  <si>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</si>
  <si>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</si>
  <si>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</si>
  <si>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</si>
  <si>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</si>
  <si>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</si>
  <si>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</si>
  <si>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</si>
  <si>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</si>
  <si>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</si>
  <si>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</si>
  <si>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</si>
  <si>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</si>
  <si>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</si>
  <si>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</si>
  <si>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</si>
  <si>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</si>
  <si>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</si>
  <si>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</si>
  <si>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</si>
  <si>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</si>
  <si>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</si>
  <si>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</si>
  <si>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</si>
  <si>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</si>
  <si>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</si>
  <si>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</si>
  <si>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</si>
  <si>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</si>
  <si>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</si>
  <si>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</si>
  <si>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</si>
  <si>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</si>
  <si>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</si>
  <si>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</si>
  <si>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</si>
  <si>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</si>
  <si>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</si>
  <si>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</si>
  <si>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</si>
  <si>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</si>
  <si>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</si>
  <si>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</si>
  <si>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</si>
  <si>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</si>
  <si>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</si>
  <si>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</si>
  <si>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</si>
  <si>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</si>
  <si>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</si>
  <si>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</si>
  <si>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</si>
  <si>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</si>
  <si>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</si>
  <si>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</si>
  <si>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</si>
  <si>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</si>
  <si>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</si>
  <si>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</si>
  <si>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</si>
  <si>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</si>
  <si>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</si>
  <si>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</si>
  <si>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</si>
  <si>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</si>
  <si>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</si>
  <si>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</si>
  <si>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</si>
  <si>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</si>
  <si>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</si>
  <si>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</si>
  <si>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</si>
  <si>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</si>
  <si>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</si>
  <si>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</si>
  <si>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</si>
  <si>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</si>
  <si>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</si>
  <si>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</si>
  <si>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</si>
  <si>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</si>
  <si>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</si>
  <si>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</si>
  <si>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</si>
  <si>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</si>
  <si>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</si>
  <si>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</si>
  <si>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</si>
  <si>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</si>
  <si>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</si>
  <si>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</si>
  <si>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</si>
  <si>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</si>
  <si>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</si>
  <si>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</si>
  <si>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</si>
  <si>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</si>
  <si>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</si>
  <si>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</si>
  <si>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</si>
  <si>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</si>
  <si>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</si>
  <si>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</si>
  <si>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</si>
  <si>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</si>
  <si>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</si>
  <si>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</si>
  <si>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</si>
  <si>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</si>
  <si>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</si>
  <si>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</si>
  <si>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</si>
  <si>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</si>
  <si>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</si>
  <si>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</si>
  <si>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</si>
  <si>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</si>
  <si>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</si>
  <si>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</si>
  <si>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</si>
  <si>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</si>
  <si>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</si>
  <si>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</si>
  <si>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</si>
  <si>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</si>
  <si>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</si>
  <si>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</si>
  <si>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</si>
  <si>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</si>
  <si>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</si>
  <si>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</si>
  <si>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</si>
  <si>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</si>
  <si>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</si>
  <si>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</si>
  <si>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</si>
  <si>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</si>
  <si>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</si>
  <si>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</si>
  <si>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</si>
  <si>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</si>
  <si>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</si>
  <si>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</si>
  <si>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</si>
  <si>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</si>
  <si>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</si>
  <si>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</si>
  <si>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</si>
  <si>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</si>
  <si>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</si>
  <si>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</si>
  <si>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</si>
  <si>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</si>
  <si>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</si>
  <si>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</si>
  <si>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</si>
  <si>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</si>
  <si>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</si>
  <si>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</si>
  <si>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</si>
  <si>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</si>
  <si>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</si>
  <si>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</si>
  <si>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</si>
  <si>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</si>
  <si>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</si>
  <si>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</si>
  <si>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</si>
  <si>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</si>
  <si>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</si>
  <si>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</si>
  <si>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</si>
  <si>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</si>
  <si>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</si>
  <si>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</si>
  <si>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</si>
  <si>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</si>
  <si>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</si>
  <si>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</si>
  <si>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</si>
  <si>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</si>
  <si>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</si>
  <si>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</si>
  <si>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</si>
  <si>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</si>
  <si>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</si>
  <si>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</si>
  <si>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</si>
  <si>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</si>
  <si>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</si>
  <si>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</si>
  <si>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</si>
  <si>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</si>
  <si>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</si>
  <si>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</si>
  <si>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</si>
  <si>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</si>
  <si>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</si>
  <si>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</si>
  <si>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</si>
  <si>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</si>
  <si>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</si>
  <si>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</si>
  <si>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</si>
  <si>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</si>
  <si>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</si>
  <si>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</si>
  <si>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</si>
  <si>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</si>
  <si>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</si>
  <si>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</si>
  <si>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</si>
  <si>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</si>
  <si>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</si>
  <si>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</si>
  <si>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</si>
  <si>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</si>
  <si>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</si>
  <si>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</si>
  <si>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</si>
  <si>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</si>
  <si>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</si>
  <si>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</si>
  <si>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</si>
  <si>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</si>
  <si>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</si>
  <si>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</si>
  <si>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</si>
  <si>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</si>
  <si>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</si>
  <si>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</si>
  <si>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</si>
  <si>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</si>
  <si>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</si>
  <si>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</si>
  <si>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</si>
  <si>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</si>
  <si>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</si>
  <si>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</si>
  <si>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</si>
  <si>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</si>
  <si>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</si>
  <si>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</si>
  <si>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</si>
  <si>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</si>
  <si>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</si>
  <si>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</si>
  <si>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</si>
  <si>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</si>
  <si>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</si>
  <si>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</si>
  <si>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</si>
  <si>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</si>
  <si>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</si>
  <si>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</si>
  <si>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</si>
  <si>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</si>
  <si>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</si>
  <si>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</si>
  <si>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</si>
  <si>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</si>
  <si>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</si>
  <si>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</si>
  <si>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</si>
  <si>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</si>
  <si>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</si>
  <si>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</si>
  <si>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</si>
  <si>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</si>
  <si>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</si>
  <si>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</si>
  <si>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</si>
  <si>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</si>
  <si>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</si>
  <si>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</si>
  <si>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</si>
  <si>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</si>
  <si>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</si>
  <si>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</si>
  <si>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</si>
  <si>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</si>
  <si>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</si>
  <si>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</si>
  <si>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</si>
  <si>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</si>
  <si>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</si>
  <si>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</si>
  <si>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</si>
  <si>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</si>
  <si>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</si>
  <si>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</si>
  <si>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</si>
  <si>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</si>
  <si>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</si>
  <si>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</si>
  <si>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</si>
  <si>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</si>
  <si>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</si>
  <si>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</si>
  <si>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</si>
  <si>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</si>
  <si>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</si>
  <si>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</si>
  <si>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</si>
  <si>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</si>
  <si>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</si>
  <si>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</si>
  <si>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</si>
  <si>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</si>
  <si>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</si>
  <si>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</si>
  <si>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</si>
  <si>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</si>
  <si>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</si>
  <si>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</si>
  <si>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</si>
  <si>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</si>
  <si>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</si>
  <si>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</si>
  <si>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</si>
  <si>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</si>
  <si>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</si>
  <si>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</si>
  <si>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</si>
  <si>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</si>
  <si>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</si>
  <si>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</si>
  <si>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</si>
  <si>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</si>
  <si>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</si>
  <si>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</si>
  <si>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</si>
  <si>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</si>
  <si>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</si>
  <si>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</si>
  <si>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</si>
  <si>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</si>
  <si>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</si>
  <si>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</si>
  <si>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</si>
  <si>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</si>
  <si>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</si>
  <si>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</si>
  <si>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</si>
  <si>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</si>
  <si>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</si>
  <si>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</si>
  <si>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</si>
  <si>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</si>
  <si>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</si>
  <si>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</si>
  <si>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</si>
  <si>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</si>
  <si>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</si>
  <si>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</si>
  <si>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</si>
  <si>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</si>
  <si>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</si>
  <si>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</si>
  <si>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</si>
  <si>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</si>
  <si>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</si>
  <si>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</si>
  <si>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</si>
  <si>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</si>
  <si>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</si>
  <si>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</si>
  <si>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</si>
  <si>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</si>
  <si>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</si>
  <si>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</si>
  <si>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</si>
  <si>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</si>
  <si>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</si>
  <si>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</si>
  <si>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</si>
  <si>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</si>
  <si>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</si>
  <si>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</si>
  <si>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</si>
  <si>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</si>
  <si>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</si>
  <si>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</si>
  <si>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</si>
  <si>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</si>
  <si>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</si>
  <si>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</si>
  <si>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</si>
  <si>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</si>
  <si>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</si>
  <si>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</si>
  <si>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</si>
  <si>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</si>
  <si>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</si>
  <si>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</si>
  <si>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</si>
  <si>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</si>
  <si>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</si>
  <si>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</si>
  <si>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</si>
  <si>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</si>
  <si>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</si>
  <si>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</si>
  <si>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</si>
  <si>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</si>
  <si>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</si>
  <si>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</si>
  <si>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</si>
  <si>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</si>
  <si>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</si>
  <si>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</si>
  <si>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</si>
  <si>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</si>
  <si>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</si>
  <si>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</si>
  <si>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</si>
  <si>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</si>
  <si>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</si>
  <si>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</si>
  <si>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</si>
  <si>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</si>
  <si>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</si>
  <si>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</si>
  <si>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</si>
  <si>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</si>
  <si>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</si>
  <si>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</si>
  <si>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</si>
  <si>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</si>
  <si>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</si>
  <si>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</si>
  <si>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</si>
  <si>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</si>
  <si>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</si>
  <si>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</si>
  <si>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</si>
  <si>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</si>
  <si>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</si>
  <si>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</si>
  <si>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</si>
  <si>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</si>
  <si>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</si>
  <si>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</si>
  <si>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</si>
  <si>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</si>
  <si>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</si>
  <si>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</si>
  <si>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</si>
  <si>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</si>
  <si>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</si>
  <si>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</si>
  <si>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</si>
  <si>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</si>
  <si>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</si>
  <si>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</si>
  <si>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</si>
  <si>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</si>
  <si>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</si>
  <si>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</si>
  <si>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</si>
  <si>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</si>
  <si>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</si>
  <si>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</si>
  <si>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</si>
  <si>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</si>
  <si>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</si>
  <si>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</si>
  <si>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</si>
  <si>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</si>
  <si>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</si>
  <si>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</si>
  <si>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</si>
  <si>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</si>
  <si>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</si>
  <si>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</si>
  <si>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</si>
  <si>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</si>
  <si>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</si>
  <si>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</si>
  <si>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</si>
  <si>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</si>
  <si>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</si>
  <si>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</si>
  <si>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</si>
  <si>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</si>
  <si>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</si>
  <si>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</si>
  <si>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</si>
  <si>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</si>
  <si>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</si>
  <si>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</si>
  <si>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</si>
  <si>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</si>
  <si>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</si>
  <si>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</si>
  <si>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</si>
  <si>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</si>
  <si>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</si>
  <si>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</si>
  <si>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</si>
  <si>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</si>
  <si>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</si>
  <si>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</si>
  <si>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</si>
  <si>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</si>
  <si>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</si>
  <si>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</si>
  <si>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</si>
  <si>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</si>
  <si>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</si>
  <si>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</si>
  <si>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</si>
  <si>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</si>
  <si>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</si>
  <si>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</si>
  <si>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</si>
  <si>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</si>
  <si>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</si>
  <si>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</si>
  <si>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</si>
  <si>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</si>
  <si>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</si>
  <si>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</si>
  <si>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</si>
  <si>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</si>
  <si>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</si>
  <si>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</si>
  <si>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</si>
  <si>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</si>
  <si>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</si>
  <si>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</si>
  <si>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</si>
  <si>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</si>
  <si>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</si>
  <si>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</si>
  <si>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</si>
  <si>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</si>
  <si>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</si>
  <si>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</si>
  <si>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</si>
  <si>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</si>
  <si>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</si>
  <si>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</si>
  <si>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</si>
  <si>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</si>
  <si>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</si>
  <si>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</si>
  <si>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</si>
  <si>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</si>
  <si>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</si>
  <si>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</si>
  <si>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</si>
  <si>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</si>
  <si>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</si>
  <si>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</si>
  <si>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</si>
  <si>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</si>
  <si>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</si>
  <si>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</si>
  <si>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</si>
  <si>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</si>
  <si>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</si>
  <si>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</si>
  <si>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</si>
  <si>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</si>
  <si>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</si>
  <si>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</si>
  <si>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</si>
  <si>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</si>
  <si>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</si>
  <si>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</si>
  <si>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</si>
  <si>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</si>
  <si>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</si>
  <si>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</si>
  <si>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</si>
  <si>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</si>
  <si>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</si>
  <si>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</si>
  <si>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</si>
  <si>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</si>
  <si>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</si>
  <si>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</si>
  <si>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</si>
  <si>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</si>
  <si>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</si>
  <si>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</si>
  <si>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</si>
  <si>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</si>
  <si>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</si>
  <si>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</si>
  <si>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</si>
  <si>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</si>
  <si>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</si>
  <si>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</si>
  <si>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</si>
  <si>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</si>
  <si>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</si>
  <si>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</si>
  <si>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</si>
  <si>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</si>
  <si>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</si>
  <si>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</si>
  <si>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</si>
  <si>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</si>
  <si>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</si>
  <si>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</si>
  <si>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</si>
  <si>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</si>
  <si>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</si>
  <si>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</si>
  <si>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</si>
  <si>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</si>
  <si>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</si>
  <si>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</si>
  <si>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</si>
  <si>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</si>
  <si>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</si>
  <si>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</si>
  <si>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</si>
  <si>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</si>
  <si>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</si>
  <si>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</si>
  <si>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</si>
  <si>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</si>
  <si>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</si>
  <si>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</si>
  <si>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</si>
  <si>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</si>
  <si>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</si>
  <si>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</si>
  <si>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</si>
  <si>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</si>
  <si>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</si>
  <si>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</si>
  <si>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</si>
  <si>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</si>
  <si>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</si>
  <si>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</si>
  <si>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</si>
  <si>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</si>
  <si>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</si>
  <si>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</si>
  <si>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</si>
  <si>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</si>
  <si>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</si>
  <si>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</si>
  <si>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</si>
  <si>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</si>
  <si>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</si>
  <si>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</si>
  <si>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</si>
  <si>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</si>
  <si>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</si>
  <si>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</si>
  <si>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</si>
  <si>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</si>
  <si>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</si>
  <si>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</si>
  <si>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</si>
  <si>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</si>
  <si>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</si>
  <si>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</si>
  <si>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</si>
  <si>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</si>
  <si>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</si>
  <si>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</si>
  <si>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</si>
  <si>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</si>
  <si>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</si>
  <si>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</si>
  <si>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</si>
  <si>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</si>
  <si>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</si>
  <si>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</si>
  <si>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</si>
  <si>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</si>
  <si>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</si>
  <si>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</si>
  <si>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</si>
  <si>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</si>
  <si>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</si>
  <si>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</si>
  <si>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</si>
  <si>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</si>
  <si>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</si>
  <si>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</si>
  <si>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</si>
  <si>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</si>
  <si>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</si>
  <si>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</si>
  <si>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</si>
  <si>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</si>
  <si>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</si>
  <si>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</si>
  <si>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</si>
  <si>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</si>
  <si>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</si>
  <si>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</si>
  <si>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</si>
  <si>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</si>
  <si>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</si>
  <si>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</si>
  <si>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</si>
  <si>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</si>
  <si>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</si>
  <si>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</si>
  <si>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</si>
  <si>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</si>
  <si>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</si>
  <si>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</si>
  <si>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</si>
  <si>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</si>
  <si>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</si>
  <si>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</si>
  <si>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</si>
  <si>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</si>
  <si>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</si>
  <si>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</si>
  <si>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</si>
  <si>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</si>
  <si>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</si>
  <si>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</si>
  <si>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</si>
  <si>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</si>
  <si>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</si>
  <si>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</si>
  <si>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</si>
  <si>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</si>
  <si>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</si>
  <si>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</si>
  <si>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</si>
  <si>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</si>
  <si>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</si>
  <si>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</si>
  <si>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</si>
  <si>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</si>
  <si>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</si>
  <si>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</si>
  <si>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</si>
  <si>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</si>
  <si>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</si>
  <si>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</si>
  <si>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</si>
  <si>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</si>
  <si>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</si>
  <si>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</si>
  <si>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</si>
  <si>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</si>
  <si>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</si>
  <si>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</si>
  <si>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</si>
  <si>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</si>
  <si>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</si>
  <si>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</si>
  <si>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</si>
  <si>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</si>
  <si>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</si>
  <si>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</si>
  <si>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</si>
  <si>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</si>
  <si>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</si>
  <si>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</si>
  <si>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</si>
  <si>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</si>
  <si>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</si>
  <si>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</si>
  <si>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</si>
  <si>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</si>
  <si>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</si>
  <si>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</si>
  <si>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</si>
  <si>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</si>
  <si>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</si>
  <si>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</si>
  <si>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</si>
  <si>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</si>
  <si>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</si>
  <si>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</si>
  <si>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</si>
  <si>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</si>
  <si>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</si>
  <si>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</si>
  <si>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</si>
  <si>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</si>
  <si>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</si>
  <si>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</si>
  <si>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</si>
  <si>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</si>
  <si>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</si>
  <si>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</si>
  <si>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</si>
  <si>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</si>
  <si>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</si>
  <si>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</si>
  <si>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</si>
  <si>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</si>
  <si>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</si>
  <si>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</si>
  <si>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</si>
  <si>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</si>
  <si>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</si>
  <si>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</si>
  <si>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</si>
  <si>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</si>
  <si>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</si>
  <si>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</si>
  <si>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</si>
  <si>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</si>
  <si>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</si>
  <si>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</si>
  <si>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</si>
  <si>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</si>
  <si>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</si>
  <si>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</si>
  <si>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</si>
  <si>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</si>
  <si>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</si>
  <si>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</si>
  <si>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</si>
  <si>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</si>
  <si>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</si>
  <si>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</si>
  <si>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</si>
  <si>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</si>
  <si>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</si>
  <si>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</si>
  <si>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</si>
  <si>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</si>
  <si>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</si>
  <si>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</si>
  <si>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</si>
  <si>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</si>
  <si>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</si>
  <si>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</si>
  <si>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</si>
  <si>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</si>
  <si>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</si>
  <si>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</si>
  <si>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</si>
  <si>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</si>
  <si>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</si>
  <si>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</si>
  <si>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</si>
  <si>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</si>
  <si>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</si>
  <si>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</si>
  <si>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</si>
  <si>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</si>
  <si>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</si>
  <si>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</si>
  <si>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</si>
  <si>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</si>
  <si>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</si>
  <si>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</si>
  <si>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</si>
  <si>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</si>
  <si>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</si>
  <si>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</si>
  <si>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</si>
  <si>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</si>
  <si>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</si>
  <si>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</si>
  <si>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</si>
  <si>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</si>
  <si>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</si>
  <si>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</si>
  <si>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</si>
  <si>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</si>
  <si>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</si>
  <si>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</si>
  <si>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</si>
  <si>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</si>
  <si>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</si>
  <si>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</si>
  <si>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</si>
  <si>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</si>
  <si>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</si>
  <si>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</si>
  <si>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</si>
  <si>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</si>
  <si>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</si>
  <si>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</si>
  <si>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</si>
  <si>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</si>
  <si>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</si>
  <si>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</si>
  <si>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</si>
  <si>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</si>
  <si>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</si>
  <si>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</si>
  <si>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</si>
  <si>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</si>
  <si>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</si>
  <si>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</si>
  <si>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</si>
  <si>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</si>
  <si>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</si>
  <si>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</si>
  <si>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</si>
  <si>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</si>
  <si>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</si>
  <si>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</si>
  <si>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</si>
  <si>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</si>
  <si>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</si>
  <si>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</si>
  <si>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</si>
  <si>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</si>
  <si>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</si>
  <si>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</si>
  <si>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</si>
  <si>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</si>
  <si>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</si>
  <si>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</si>
  <si>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</si>
  <si>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</si>
  <si>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</si>
  <si>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</si>
  <si>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</si>
  <si>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</si>
  <si>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</si>
  <si>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</si>
  <si>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</si>
  <si>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</si>
  <si>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</si>
  <si>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</si>
  <si>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</si>
  <si>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</si>
  <si>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</si>
  <si>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</si>
  <si>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</si>
  <si>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</si>
  <si>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</si>
  <si>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</si>
  <si>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</si>
  <si>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</si>
  <si>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</si>
  <si>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</si>
  <si>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</si>
  <si>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</si>
  <si>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</si>
  <si>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</si>
  <si>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</si>
  <si>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</si>
  <si>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</si>
  <si>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</si>
  <si>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</si>
  <si>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</si>
  <si>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</si>
  <si>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</si>
  <si>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</si>
  <si>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</si>
  <si>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</si>
  <si>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</si>
  <si>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</si>
  <si>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</si>
  <si>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</si>
  <si>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</si>
  <si>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</si>
  <si>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</si>
  <si>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</si>
  <si>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</si>
  <si>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</si>
  <si>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</si>
  <si>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</si>
  <si>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</si>
  <si>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</si>
  <si>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</si>
  <si>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</si>
  <si>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</si>
  <si>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</si>
  <si>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</si>
  <si>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</si>
  <si>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</si>
  <si>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</si>
  <si>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</si>
  <si>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</si>
  <si>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</si>
  <si>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</si>
  <si>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</si>
  <si>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</si>
  <si>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</si>
  <si>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</si>
  <si>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</si>
  <si>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</si>
  <si>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</si>
  <si>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</si>
  <si>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</si>
  <si>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</si>
  <si>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</si>
  <si>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</si>
  <si>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</si>
  <si>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</si>
  <si>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</si>
  <si>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</si>
  <si>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</si>
  <si>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</si>
  <si>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</si>
  <si>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</si>
  <si>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</si>
  <si>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</si>
  <si>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</si>
  <si>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</si>
  <si>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</si>
  <si>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</si>
  <si>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</si>
  <si>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</si>
  <si>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</si>
  <si>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</si>
  <si>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</si>
  <si>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</si>
  <si>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</si>
  <si>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</si>
  <si>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</si>
  <si>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</si>
  <si>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</si>
  <si>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</si>
  <si>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</si>
  <si>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</si>
  <si>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</si>
  <si>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</si>
  <si>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</si>
  <si>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</si>
  <si>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</si>
  <si>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</si>
  <si>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</si>
  <si>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</si>
  <si>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</si>
  <si>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</si>
  <si>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</si>
  <si>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</si>
  <si>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</si>
  <si>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</si>
  <si>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</si>
  <si>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</si>
  <si>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</si>
  <si>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</si>
  <si>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</si>
  <si>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</si>
  <si>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</si>
  <si>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</si>
  <si>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</si>
  <si>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</si>
  <si>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</si>
  <si>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</si>
  <si>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</si>
  <si>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</si>
  <si>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</si>
  <si>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</si>
  <si>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</si>
  <si>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</si>
  <si>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</si>
  <si>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</si>
  <si>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</si>
  <si>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</si>
  <si>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</si>
  <si>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</si>
  <si>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</si>
  <si>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</si>
  <si>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</si>
  <si>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</si>
  <si>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</si>
  <si>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</si>
  <si>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</si>
  <si>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</si>
  <si>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</si>
  <si>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</si>
  <si>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</si>
  <si>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</si>
  <si>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</si>
  <si>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</si>
  <si>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</si>
  <si>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</si>
  <si>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</si>
  <si>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</si>
  <si>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</si>
  <si>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</si>
  <si>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</si>
  <si>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</si>
  <si>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</si>
  <si>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</si>
  <si>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</si>
  <si>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</si>
  <si>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</si>
  <si>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</si>
  <si>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</si>
  <si>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</si>
  <si>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</si>
  <si>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</si>
  <si>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</si>
  <si>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</si>
  <si>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</si>
  <si>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</si>
  <si>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</si>
  <si>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</si>
  <si>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</si>
  <si>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</si>
  <si>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</si>
  <si>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</si>
  <si>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</si>
  <si>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</si>
  <si>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</si>
  <si>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</si>
  <si>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</si>
  <si>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</si>
  <si>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</si>
  <si>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</si>
  <si>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</si>
  <si>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</si>
  <si>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</si>
  <si>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</si>
  <si>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</si>
  <si>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</si>
  <si>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</si>
  <si>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</si>
  <si>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</si>
  <si>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</si>
  <si>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</si>
  <si>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</si>
  <si>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</si>
  <si>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</si>
  <si>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</si>
  <si>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</si>
  <si>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</si>
  <si>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</si>
  <si>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</si>
  <si>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</si>
  <si>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</si>
  <si>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</si>
  <si>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</si>
  <si>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</si>
  <si>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</si>
  <si>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</si>
  <si>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</si>
  <si>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</si>
  <si>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</si>
  <si>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</si>
  <si>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</si>
  <si>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</si>
  <si>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</si>
  <si>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</si>
  <si>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</si>
  <si>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</si>
  <si>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</si>
  <si>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</si>
  <si>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</si>
  <si>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</si>
  <si>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</si>
  <si>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</si>
  <si>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</si>
  <si>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</si>
  <si>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</si>
  <si>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</si>
  <si>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</si>
  <si>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</si>
  <si>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</si>
  <si>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</si>
  <si>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</si>
  <si>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</si>
  <si>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</si>
  <si>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</si>
  <si>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</si>
  <si>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</si>
  <si>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</si>
  <si>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</si>
  <si>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</si>
  <si>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</si>
  <si>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</si>
  <si>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</si>
  <si>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</si>
  <si>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</si>
  <si>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</si>
  <si>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</si>
  <si>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</si>
  <si>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</si>
  <si>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</si>
  <si>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</si>
  <si>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</si>
  <si>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</si>
  <si>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</si>
  <si>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</si>
  <si>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</si>
  <si>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</si>
  <si>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</si>
  <si>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</si>
  <si>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</si>
  <si>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</si>
  <si>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</si>
  <si>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</si>
  <si>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</si>
  <si>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</si>
  <si>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</si>
  <si>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</si>
  <si>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</si>
  <si>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</si>
  <si>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</si>
  <si>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</si>
  <si>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</si>
  <si>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</si>
  <si>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</si>
  <si>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</si>
  <si>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</si>
  <si>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</si>
  <si>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</si>
  <si>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</si>
  <si>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</si>
  <si>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</si>
  <si>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</si>
  <si>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</si>
  <si>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</si>
  <si>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</si>
  <si>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</si>
  <si>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</si>
  <si>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</si>
  <si>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</si>
  <si>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</si>
  <si>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</si>
  <si>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</si>
  <si>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</si>
  <si>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</si>
  <si>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</si>
  <si>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</si>
  <si>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</si>
  <si>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</si>
  <si>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</si>
  <si>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</si>
  <si>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</si>
  <si>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</si>
  <si>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</si>
  <si>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</si>
  <si>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</si>
  <si>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</si>
  <si>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</si>
  <si>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</si>
  <si>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</si>
  <si>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</si>
  <si>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</si>
  <si>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</si>
  <si>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</si>
  <si>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</si>
  <si>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</si>
  <si>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</si>
  <si>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</si>
  <si>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</si>
  <si>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</si>
  <si>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</si>
  <si>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</si>
  <si>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</si>
  <si>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</si>
  <si>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</si>
  <si>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</si>
  <si>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</si>
  <si>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</si>
  <si>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</si>
  <si>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</si>
  <si>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</si>
  <si>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</si>
  <si>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</si>
  <si>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</si>
  <si>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</si>
  <si>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</si>
  <si>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</si>
  <si>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</si>
  <si>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</si>
  <si>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</si>
  <si>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</si>
  <si>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</si>
  <si>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</si>
  <si>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</si>
  <si>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</si>
  <si>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</si>
  <si>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</si>
  <si>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</si>
  <si>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</si>
  <si>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</si>
  <si>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</si>
  <si>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</si>
  <si>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</si>
  <si>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</si>
  <si>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</si>
  <si>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</si>
  <si>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</si>
  <si>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</si>
  <si>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</si>
  <si>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</si>
  <si>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</si>
  <si>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</si>
  <si>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</si>
  <si>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</si>
  <si>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</si>
  <si>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</si>
  <si>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</si>
  <si>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</si>
  <si>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</si>
  <si>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</si>
  <si>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</si>
  <si>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</si>
  <si>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</si>
  <si>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</si>
  <si>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</si>
  <si>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</si>
  <si>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</si>
  <si>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</si>
  <si>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</si>
  <si>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</si>
  <si>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</si>
  <si>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</si>
  <si>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</si>
  <si>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</si>
  <si>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</si>
  <si>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</si>
  <si>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</si>
  <si>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</si>
  <si>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</si>
  <si>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</si>
  <si>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</si>
  <si>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</si>
  <si>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</si>
  <si>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</si>
  <si>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</si>
  <si>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</si>
  <si>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</si>
  <si>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</si>
  <si>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</si>
  <si>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</si>
  <si>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</si>
  <si>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</si>
  <si>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</si>
  <si>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</si>
  <si>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</si>
  <si>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</si>
  <si>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</si>
  <si>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</si>
  <si>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</si>
  <si>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</si>
  <si>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</si>
  <si>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</si>
  <si>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</si>
  <si>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</si>
  <si>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</si>
  <si>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</si>
  <si>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</si>
  <si>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</si>
  <si>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</si>
  <si>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</si>
  <si>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</si>
  <si>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</si>
  <si>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</si>
  <si>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</si>
  <si>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</si>
  <si>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</si>
  <si>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</si>
  <si>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</si>
  <si>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</si>
  <si>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</si>
  <si>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</si>
  <si>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</si>
  <si>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</si>
  <si>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</si>
  <si>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</si>
  <si>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</si>
  <si>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</si>
  <si>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</si>
  <si>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</si>
  <si>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</si>
  <si>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</si>
  <si>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</si>
  <si>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</si>
  <si>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</si>
  <si>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</si>
  <si>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</si>
  <si>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</si>
  <si>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</si>
  <si>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</si>
  <si>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</si>
  <si>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</si>
  <si>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</si>
  <si>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</si>
  <si>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</si>
  <si>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</si>
  <si>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</si>
  <si>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</si>
  <si>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</si>
  <si>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</si>
  <si>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</si>
  <si>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</si>
  <si>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</si>
  <si>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</si>
  <si>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</si>
  <si>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</si>
  <si>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</si>
  <si>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</si>
  <si>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</si>
  <si>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</si>
  <si>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</si>
  <si>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</si>
  <si>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</si>
  <si>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</si>
  <si>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</si>
  <si>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</si>
  <si>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</si>
  <si>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</si>
  <si>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</si>
  <si>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</si>
  <si>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</si>
  <si>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</si>
  <si>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</si>
  <si>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</si>
  <si>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</si>
  <si>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</si>
  <si>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</si>
  <si>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</si>
  <si>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</si>
  <si>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</si>
  <si>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</si>
  <si>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</si>
  <si>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</si>
  <si>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</si>
  <si>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</si>
  <si>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</si>
  <si>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</si>
  <si>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</si>
  <si>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</si>
  <si>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</si>
  <si>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</si>
  <si>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</si>
  <si>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</si>
  <si>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</si>
  <si>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</si>
  <si>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</si>
  <si>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</si>
  <si>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</si>
  <si>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</si>
  <si>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</si>
  <si>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</si>
  <si>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</si>
  <si>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</si>
  <si>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</si>
  <si>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</si>
  <si>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</si>
  <si>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</si>
  <si>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</si>
  <si>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</si>
  <si>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</si>
  <si>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</si>
  <si>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</si>
  <si>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</si>
  <si>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</si>
  <si>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</si>
  <si>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</si>
  <si>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</si>
  <si>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</si>
  <si>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</si>
  <si>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</si>
  <si>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</si>
  <si>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</si>
  <si>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</si>
  <si>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</si>
  <si>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</si>
  <si>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</si>
  <si>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</si>
  <si>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</si>
  <si>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</si>
  <si>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</si>
  <si>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</si>
  <si>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</si>
  <si>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</si>
  <si>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</si>
  <si>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</si>
  <si>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</si>
  <si>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</si>
  <si>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</si>
  <si>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</si>
  <si>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</si>
  <si>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</si>
  <si>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</si>
  <si>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</si>
  <si>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</si>
  <si>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</si>
  <si>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</si>
  <si>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</si>
  <si>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</si>
  <si>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</si>
  <si>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</si>
  <si>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</si>
  <si>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</si>
  <si>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</si>
  <si>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</si>
  <si>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</si>
  <si>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</si>
  <si>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</si>
  <si>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</si>
  <si>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</si>
  <si>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</si>
  <si>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</si>
  <si>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</si>
  <si>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</si>
  <si>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</si>
  <si>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</si>
  <si>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</si>
  <si>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</si>
  <si>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</si>
  <si>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</si>
  <si>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</si>
  <si>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</si>
  <si>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</si>
  <si>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</si>
  <si>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</si>
  <si>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</si>
  <si>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</si>
  <si>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</si>
  <si>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</si>
  <si>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</si>
  <si>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</si>
  <si>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</si>
  <si>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</si>
  <si>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</si>
  <si>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</si>
  <si>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</si>
  <si>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</si>
  <si>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</si>
  <si>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</si>
  <si>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</si>
  <si>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</si>
  <si>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</si>
  <si>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</si>
  <si>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</si>
  <si>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</si>
  <si>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</si>
  <si>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</si>
  <si>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</si>
  <si>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</si>
  <si>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</si>
  <si>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</si>
  <si>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</si>
  <si>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</si>
  <si>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</si>
  <si>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</si>
  <si>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</si>
  <si>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</si>
  <si>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</si>
  <si>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</si>
  <si>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</si>
  <si>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</si>
  <si>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</si>
  <si>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</si>
  <si>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</si>
  <si>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</si>
  <si>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</si>
  <si>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</si>
  <si>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</si>
  <si>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</si>
  <si>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</si>
  <si>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</si>
  <si>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</si>
  <si>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</si>
  <si>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</si>
  <si>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</si>
  <si>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</si>
  <si>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</si>
  <si>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</si>
  <si>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</si>
  <si>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</si>
  <si>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</si>
  <si>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</si>
  <si>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</si>
  <si>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</si>
  <si>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</si>
  <si>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</si>
  <si>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</si>
  <si>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</si>
  <si>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</si>
  <si>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</si>
  <si>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</si>
  <si>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</si>
  <si>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</si>
  <si>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</si>
  <si>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</si>
  <si>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</si>
  <si>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</si>
  <si>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</si>
  <si>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</si>
  <si>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</si>
  <si>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</si>
  <si>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</si>
  <si>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</si>
  <si>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</si>
  <si>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</si>
  <si>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</si>
  <si>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</si>
  <si>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</si>
  <si>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</si>
  <si>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</si>
  <si>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</si>
  <si>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</si>
  <si>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</si>
  <si>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</si>
  <si>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</si>
  <si>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</si>
  <si>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</si>
  <si>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</si>
  <si>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</si>
  <si>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</si>
  <si>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</si>
  <si>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</si>
  <si>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</si>
  <si>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</si>
  <si>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</si>
  <si>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</si>
  <si>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</si>
  <si>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</si>
  <si>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</si>
  <si>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</si>
  <si>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</si>
  <si>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</si>
  <si>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</si>
  <si>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</si>
  <si>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</si>
  <si>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</si>
  <si>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</si>
  <si>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</si>
  <si>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</si>
  <si>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</si>
  <si>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</si>
  <si>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</si>
  <si>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</si>
  <si>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</si>
  <si>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</si>
  <si>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</si>
  <si>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</si>
  <si>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</si>
  <si>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</si>
  <si>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</si>
  <si>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</si>
  <si>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</si>
  <si>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</si>
  <si>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</si>
  <si>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</si>
  <si>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</si>
  <si>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</si>
  <si>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</si>
  <si>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</si>
  <si>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</si>
  <si>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</si>
  <si>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</si>
  <si>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</si>
  <si>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</si>
  <si>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</si>
  <si>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</si>
  <si>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</si>
  <si>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</si>
  <si>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</si>
  <si>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</si>
  <si>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</si>
  <si>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</si>
  <si>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</si>
  <si>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</si>
  <si>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</si>
  <si>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</si>
  <si>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</si>
  <si>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</si>
  <si>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</si>
  <si>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</si>
  <si>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</si>
  <si>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</si>
  <si>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</si>
  <si>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</si>
  <si>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</si>
  <si>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</si>
  <si>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</si>
  <si>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</si>
  <si>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</si>
  <si>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</si>
  <si>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</si>
  <si>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</si>
  <si>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</si>
  <si>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</si>
  <si>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</si>
  <si>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</si>
  <si>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</si>
  <si>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</si>
  <si>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</si>
  <si>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</si>
  <si>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</si>
  <si>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</si>
  <si>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</si>
  <si>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</si>
  <si>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</si>
  <si>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</si>
  <si>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</si>
  <si>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</si>
  <si>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</si>
  <si>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</si>
  <si>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</si>
  <si>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</si>
  <si>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</si>
  <si>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</si>
  <si>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</si>
  <si>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</si>
  <si>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</si>
  <si>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</si>
  <si>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</si>
  <si>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</si>
  <si>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</si>
  <si>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</si>
  <si>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</si>
  <si>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</si>
  <si>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</si>
  <si>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</si>
  <si>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</si>
  <si>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</si>
  <si>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</si>
  <si>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</si>
  <si>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</si>
  <si>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</si>
  <si>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</si>
  <si>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</si>
  <si>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</si>
  <si>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</si>
  <si>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</si>
  <si>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</si>
  <si>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</si>
  <si>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</si>
  <si>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</si>
  <si>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</si>
  <si>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</si>
  <si>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</si>
  <si>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</si>
  <si>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</si>
  <si>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</si>
  <si>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</si>
  <si>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</si>
  <si>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</si>
  <si>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</si>
  <si>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</si>
  <si>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</si>
  <si>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</si>
  <si>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</si>
  <si>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</si>
  <si>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</si>
  <si>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</si>
  <si>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</si>
  <si>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</si>
  <si>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</si>
  <si>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</si>
  <si>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</si>
  <si>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</si>
  <si>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</si>
  <si>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</si>
  <si>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</si>
  <si>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</si>
  <si>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</si>
  <si>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</si>
  <si>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</si>
  <si>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</si>
  <si>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</si>
  <si>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</si>
  <si>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</si>
  <si>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</si>
  <si>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</si>
  <si>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</si>
  <si>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</si>
  <si>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</si>
  <si>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</si>
  <si>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</si>
  <si>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</si>
  <si>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</si>
  <si>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</si>
  <si>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</si>
  <si>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</si>
  <si>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</si>
  <si>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</si>
  <si>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</si>
  <si>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</si>
  <si>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</si>
  <si>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</si>
  <si>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</si>
  <si>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</si>
  <si>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</si>
  <si>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</si>
  <si>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</si>
  <si>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</si>
  <si>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</si>
  <si>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</si>
  <si>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</si>
  <si>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</si>
  <si>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</si>
  <si>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</si>
  <si>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</si>
  <si>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</si>
  <si>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</si>
  <si>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</si>
  <si>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</si>
  <si>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</si>
  <si>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</si>
  <si>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</si>
  <si>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</si>
  <si>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</si>
  <si>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</si>
  <si>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</si>
  <si>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</si>
  <si>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</si>
  <si>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</si>
  <si>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</si>
  <si>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</si>
  <si>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</si>
  <si>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</si>
  <si>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</si>
  <si>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</si>
  <si>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</si>
  <si>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</si>
  <si>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</si>
  <si>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</si>
  <si>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</si>
  <si>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</si>
  <si>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</si>
  <si>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</si>
  <si>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</si>
  <si>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</si>
  <si>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</si>
  <si>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</si>
  <si>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</si>
  <si>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</si>
  <si>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</si>
  <si>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</si>
  <si>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</si>
  <si>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</si>
  <si>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</si>
  <si>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</si>
  <si>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</si>
  <si>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</si>
  <si>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</si>
  <si>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</si>
  <si>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</si>
  <si>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</si>
  <si>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</si>
  <si>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</si>
  <si>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</si>
  <si>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</si>
  <si>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</si>
  <si>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</si>
  <si>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</si>
  <si>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</si>
  <si>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</si>
  <si>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</si>
  <si>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</si>
  <si>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</si>
  <si>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</si>
  <si>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</si>
  <si>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</si>
  <si>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</si>
  <si>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</si>
  <si>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</si>
  <si>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</si>
  <si>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</si>
  <si>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</si>
  <si>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</si>
  <si>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</si>
  <si>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</si>
  <si>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</si>
  <si>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</si>
  <si>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</si>
  <si>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</si>
  <si>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</si>
  <si>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</si>
  <si>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</si>
  <si>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</si>
  <si>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</si>
  <si>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</si>
  <si>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</si>
  <si>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</si>
  <si>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</si>
  <si>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</si>
  <si>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</si>
  <si>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</si>
  <si>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</si>
  <si>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</si>
  <si>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</si>
  <si>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</si>
  <si>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</si>
  <si>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</si>
  <si>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</si>
  <si>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</si>
  <si>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</si>
  <si>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</si>
  <si>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</si>
  <si>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</si>
  <si>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</si>
  <si>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</si>
  <si>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</si>
  <si>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</si>
  <si>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</si>
  <si>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</si>
  <si>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</si>
  <si>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</si>
  <si>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</si>
  <si>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</si>
  <si>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</si>
  <si>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</si>
  <si>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</si>
  <si>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</si>
  <si>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</si>
  <si>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</si>
  <si>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</si>
  <si>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</si>
  <si>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</si>
  <si>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</si>
  <si>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</si>
  <si>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</si>
  <si>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</si>
  <si>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</si>
  <si>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</si>
  <si>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</si>
  <si>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</si>
  <si>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</si>
  <si>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</si>
  <si>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</si>
  <si>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</si>
  <si>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</si>
  <si>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</si>
  <si>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</si>
  <si>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</si>
  <si>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</si>
  <si>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</si>
  <si>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</si>
  <si>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</si>
  <si>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</si>
  <si>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</si>
  <si>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</si>
  <si>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</si>
  <si>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</si>
  <si>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</si>
  <si>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</si>
  <si>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</si>
  <si>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</si>
  <si>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</si>
  <si>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</si>
  <si>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</si>
  <si>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</si>
  <si>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</si>
  <si>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</si>
  <si>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</si>
  <si>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</si>
  <si>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</si>
  <si>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</si>
  <si>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</si>
  <si>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</si>
  <si>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</si>
  <si>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</si>
  <si>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</si>
  <si>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</si>
  <si>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</si>
  <si>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</si>
  <si>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</si>
  <si>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</si>
  <si>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</si>
  <si>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</si>
  <si>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</si>
  <si>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</si>
  <si>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</si>
  <si>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</si>
  <si>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</si>
  <si>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</si>
  <si>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</si>
  <si>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</si>
  <si>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</si>
  <si>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</si>
  <si>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</si>
  <si>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</si>
  <si>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</si>
  <si>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</si>
  <si>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</si>
  <si>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</si>
  <si>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</si>
  <si>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</si>
  <si>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</si>
  <si>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</si>
  <si>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</si>
  <si>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</si>
  <si>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</si>
  <si>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</si>
  <si>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</si>
  <si>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</si>
  <si>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</si>
  <si>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</si>
  <si>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</si>
  <si>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</si>
  <si>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</si>
  <si>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</si>
  <si>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</si>
  <si>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</si>
  <si>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</si>
  <si>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</si>
  <si>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</si>
  <si>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</si>
  <si>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</si>
  <si>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</si>
  <si>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</si>
  <si>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</si>
  <si>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</si>
  <si>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</si>
  <si>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</si>
  <si>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</si>
  <si>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</si>
  <si>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</si>
  <si>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</si>
  <si>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</si>
  <si>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</si>
  <si>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</si>
  <si>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</si>
  <si>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</si>
  <si>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</si>
  <si>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</si>
  <si>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</si>
  <si>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</si>
  <si>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</si>
  <si>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</si>
  <si>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</si>
  <si>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</si>
  <si>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</si>
  <si>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</si>
  <si>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</si>
  <si>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</si>
  <si>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</si>
  <si>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</si>
  <si>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</si>
  <si>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</si>
  <si>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</si>
  <si>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</si>
  <si>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</si>
  <si>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</si>
  <si>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</si>
  <si>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</si>
  <si>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</si>
  <si>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</si>
  <si>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</si>
  <si>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</si>
  <si>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</si>
  <si>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</si>
  <si>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</si>
  <si>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</si>
  <si>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</si>
  <si>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</si>
  <si>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</si>
  <si>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</si>
  <si>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</si>
  <si>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</si>
  <si>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</si>
  <si>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</si>
  <si>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</si>
  <si>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</si>
  <si>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</si>
  <si>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</si>
  <si>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</si>
  <si>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</si>
  <si>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</si>
  <si>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</si>
  <si>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</si>
  <si>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</si>
  <si>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</si>
  <si>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</si>
  <si>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</si>
  <si>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</si>
  <si>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</si>
  <si>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</si>
  <si>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</si>
  <si>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</si>
  <si>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</si>
  <si>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</si>
  <si>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</si>
  <si>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</si>
  <si>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</si>
  <si>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</si>
  <si>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</si>
  <si>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</si>
  <si>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</si>
  <si>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</si>
  <si>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</si>
  <si>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</si>
  <si>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</si>
  <si>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</si>
  <si>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</si>
  <si>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</si>
  <si>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</si>
  <si>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</si>
  <si>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</si>
  <si>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</si>
  <si>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</si>
  <si>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</si>
  <si>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</si>
  <si>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</si>
  <si>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</si>
  <si>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</si>
  <si>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</si>
  <si>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</si>
  <si>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</si>
  <si>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</si>
  <si>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</si>
  <si>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</si>
  <si>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</si>
  <si>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</si>
  <si>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</si>
  <si>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</si>
  <si>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</si>
  <si>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</si>
  <si>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</si>
  <si>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</si>
  <si>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</si>
  <si>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</si>
  <si>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</si>
  <si>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</si>
  <si>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</si>
  <si>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</si>
  <si>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</si>
  <si>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</si>
  <si>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</si>
  <si>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</si>
  <si>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</si>
  <si>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</si>
  <si>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</si>
  <si>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</si>
  <si>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</si>
  <si>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</si>
  <si>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</si>
  <si>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</si>
  <si>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</si>
  <si>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</si>
  <si>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</si>
  <si>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</si>
  <si>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</si>
  <si>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</si>
  <si>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</si>
  <si>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</si>
  <si>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</si>
  <si>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</si>
  <si>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</si>
  <si>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</si>
  <si>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</si>
  <si>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</si>
  <si>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</si>
  <si>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</si>
  <si>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</si>
  <si>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</si>
  <si>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</si>
  <si>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</si>
  <si>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</si>
  <si>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</si>
  <si>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</si>
  <si>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</si>
  <si>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</si>
  <si>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</si>
  <si>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</si>
  <si>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</si>
  <si>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</si>
  <si>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</si>
  <si>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</si>
  <si>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</si>
  <si>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</si>
  <si>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</si>
  <si>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</si>
  <si>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</si>
  <si>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</si>
  <si>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</si>
  <si>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</si>
  <si>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</si>
  <si>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</si>
  <si>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</si>
  <si>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</si>
  <si>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</si>
  <si>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</si>
  <si>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</si>
  <si>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</si>
  <si>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</si>
  <si>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</si>
  <si>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</si>
  <si>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</si>
  <si>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</si>
  <si>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</si>
  <si>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</si>
  <si>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</si>
  <si>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</si>
  <si>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</si>
  <si>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</si>
  <si>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</si>
  <si>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</si>
  <si>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</si>
  <si>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</si>
  <si>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</si>
  <si>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</si>
  <si>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</si>
  <si>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</si>
  <si>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</si>
  <si>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</si>
  <si>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</si>
  <si>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</si>
  <si>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</si>
  <si>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</si>
  <si>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</si>
  <si>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</si>
  <si>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</si>
  <si>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</si>
  <si>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</si>
  <si>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</si>
  <si>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</si>
  <si>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</si>
  <si>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</si>
  <si>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</si>
  <si>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</si>
  <si>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</si>
  <si>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</si>
  <si>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</si>
  <si>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</si>
  <si>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</si>
  <si>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</si>
  <si>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</si>
  <si>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</si>
  <si>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</si>
  <si>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</si>
  <si>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</si>
  <si>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</si>
  <si>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</si>
  <si>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</si>
  <si>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</si>
  <si>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</si>
  <si>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</si>
  <si>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</si>
  <si>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</si>
  <si>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</si>
  <si>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</si>
  <si>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</si>
  <si>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</si>
  <si>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</si>
  <si>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</si>
  <si>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</si>
  <si>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</si>
  <si>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</si>
  <si>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</si>
  <si>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</si>
  <si>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</si>
  <si>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</si>
  <si>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</si>
  <si>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</si>
  <si>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</si>
  <si>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</si>
  <si>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</si>
  <si>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</si>
  <si>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</si>
  <si>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</si>
  <si>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</si>
  <si>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</si>
  <si>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</si>
  <si>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</si>
  <si>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</si>
  <si>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</si>
  <si>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</si>
  <si>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</si>
  <si>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</si>
  <si>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</si>
  <si>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</si>
  <si>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</si>
  <si>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</si>
  <si>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</si>
  <si>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</si>
  <si>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</si>
  <si>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</si>
  <si>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</si>
  <si>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</si>
  <si>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</si>
  <si>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</si>
  <si>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</si>
  <si>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</si>
  <si>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</si>
  <si>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</si>
  <si>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</si>
  <si>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</si>
  <si>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</si>
  <si>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</si>
  <si>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</si>
  <si>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</si>
  <si>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</si>
  <si>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</si>
  <si>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</si>
  <si>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</si>
  <si>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</si>
  <si>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</si>
  <si>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</si>
  <si>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</si>
  <si>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</si>
  <si>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</si>
  <si>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</si>
  <si>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</si>
  <si>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</si>
  <si>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</si>
  <si>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</si>
  <si>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</si>
  <si>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</si>
  <si>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</si>
  <si>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</si>
  <si>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</si>
  <si>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</si>
  <si>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</si>
  <si>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</si>
  <si>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</si>
  <si>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</si>
  <si>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</si>
  <si>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</si>
  <si>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</si>
  <si>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</si>
  <si>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</si>
  <si>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</si>
  <si>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</si>
  <si>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</si>
  <si>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</si>
  <si>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</si>
  <si>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</si>
  <si>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</si>
  <si>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</si>
  <si>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</si>
  <si>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</si>
  <si>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</si>
  <si>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</si>
  <si>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</si>
  <si>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</si>
  <si>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</si>
  <si>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</si>
  <si>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</si>
  <si>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</si>
  <si>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</si>
  <si>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</si>
  <si>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</si>
  <si>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</si>
  <si>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</si>
  <si>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</si>
  <si>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</si>
  <si>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</si>
  <si>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</si>
  <si>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</si>
  <si>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</si>
  <si>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</si>
  <si>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</si>
  <si>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</si>
  <si>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</si>
  <si>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</si>
  <si>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</si>
  <si>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</si>
  <si>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</si>
  <si>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</si>
  <si>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</si>
  <si>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</si>
  <si>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</si>
  <si>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</si>
  <si>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</si>
  <si>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</si>
  <si>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</si>
  <si>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</si>
  <si>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</si>
  <si>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</si>
  <si>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</si>
  <si>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</si>
  <si>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</si>
  <si>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</si>
  <si>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</si>
  <si>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</si>
  <si>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</si>
  <si>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</si>
  <si>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</si>
  <si>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</si>
  <si>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</si>
  <si>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</si>
  <si>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</si>
  <si>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</si>
  <si>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</si>
  <si>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</si>
  <si>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</si>
  <si>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</si>
  <si>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</si>
  <si>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</si>
  <si>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</si>
  <si>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</si>
  <si>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</si>
  <si>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</si>
  <si>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</si>
  <si>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</si>
  <si>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</si>
  <si>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</si>
  <si>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</si>
  <si>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</si>
  <si>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</si>
  <si>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</si>
  <si>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</si>
  <si>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</si>
  <si>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</si>
  <si>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</si>
  <si>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</si>
  <si>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</si>
  <si>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</si>
  <si>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</si>
  <si>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</si>
  <si>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</si>
  <si>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</si>
  <si>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</si>
  <si>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</si>
  <si>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</si>
  <si>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</si>
  <si>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</si>
  <si>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</si>
  <si>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</si>
  <si>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</si>
  <si>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</si>
  <si>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</si>
  <si>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</si>
  <si>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</si>
  <si>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</si>
  <si>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</si>
  <si>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</si>
  <si>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</si>
  <si>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</si>
  <si>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</si>
  <si>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</si>
  <si>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</si>
  <si>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</si>
  <si>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</si>
  <si>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</si>
  <si>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</si>
  <si>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</si>
  <si>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</si>
  <si>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</si>
  <si>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</si>
  <si>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</si>
  <si>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</si>
  <si>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</si>
  <si>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</si>
  <si>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</si>
  <si>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</si>
  <si>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</si>
  <si>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</si>
  <si>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</si>
  <si>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</si>
  <si>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</si>
  <si>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</si>
  <si>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</si>
  <si>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</si>
  <si>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</si>
  <si>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</si>
  <si>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</si>
  <si>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</si>
  <si>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</si>
  <si>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</si>
  <si>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</si>
  <si>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</si>
  <si>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</si>
  <si>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</si>
  <si>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</si>
  <si>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</si>
  <si>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</si>
  <si>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</si>
  <si>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</si>
  <si>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</si>
  <si>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</si>
  <si>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</si>
  <si>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</si>
  <si>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</si>
  <si>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</si>
  <si>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</si>
  <si>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</si>
  <si>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</si>
  <si>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</si>
  <si>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</si>
  <si>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</si>
  <si>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</si>
  <si>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</si>
  <si>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</si>
  <si>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</si>
  <si>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</si>
  <si>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</si>
  <si>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</si>
  <si>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</si>
  <si>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</si>
  <si>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</si>
  <si>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</si>
  <si>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</si>
  <si>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</si>
  <si>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</si>
  <si>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</si>
  <si>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</si>
  <si>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</si>
  <si>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</si>
  <si>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</si>
  <si>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</si>
  <si>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</si>
  <si>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</si>
  <si>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</si>
  <si>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</si>
  <si>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</si>
  <si>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</si>
  <si>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</si>
  <si>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</si>
  <si>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</si>
  <si>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</si>
  <si>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</si>
  <si>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</si>
  <si>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</si>
  <si>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</si>
  <si>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</si>
  <si>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</si>
  <si>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</si>
  <si>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</si>
  <si>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</si>
  <si>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</si>
  <si>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</si>
  <si>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</si>
  <si>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</si>
  <si>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</si>
  <si>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</si>
  <si>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</si>
  <si>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</si>
  <si>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</si>
  <si>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</si>
  <si>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</si>
  <si>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</si>
  <si>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</si>
  <si>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</si>
  <si>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</si>
  <si>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</si>
  <si>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</si>
  <si>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</si>
  <si>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</si>
  <si>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</si>
  <si>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</si>
  <si>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</si>
  <si>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</si>
  <si>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</si>
  <si>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</si>
  <si>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</si>
  <si>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</si>
  <si>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</si>
  <si>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</si>
  <si>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</si>
  <si>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</si>
  <si>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</si>
  <si>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</si>
  <si>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</si>
  <si>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</si>
  <si>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</si>
  <si>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</si>
  <si>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</si>
  <si>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</si>
  <si>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</si>
  <si>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</si>
  <si>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</si>
  <si>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</si>
  <si>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</si>
  <si>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</si>
  <si>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</si>
  <si>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</si>
  <si>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</si>
  <si>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</si>
  <si>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</si>
  <si>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</si>
  <si>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</si>
  <si>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</si>
  <si>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</si>
  <si>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</si>
  <si>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</si>
  <si>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</si>
  <si>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</si>
  <si>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</si>
  <si>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</si>
  <si>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</si>
  <si>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</si>
  <si>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</si>
  <si>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</si>
  <si>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</si>
  <si>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</si>
  <si>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</si>
  <si>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</si>
  <si>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</si>
  <si>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</si>
  <si>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</si>
  <si>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</si>
  <si>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</si>
  <si>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</si>
  <si>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</si>
  <si>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</si>
  <si>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</si>
  <si>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</si>
  <si>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</si>
  <si>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</si>
  <si>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</si>
  <si>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</si>
  <si>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</si>
  <si>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</si>
  <si>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</si>
  <si>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</si>
  <si>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</si>
  <si>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</si>
  <si>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</si>
  <si>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</si>
  <si>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</si>
  <si>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</si>
  <si>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</si>
  <si>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</si>
  <si>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</si>
  <si>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</si>
  <si>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</si>
  <si>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</si>
  <si>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</si>
  <si>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</si>
  <si>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</si>
  <si>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</si>
  <si>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</si>
  <si>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</si>
  <si>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</si>
  <si>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</si>
  <si>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</si>
  <si>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</si>
  <si>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</si>
  <si>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</si>
  <si>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</si>
  <si>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</si>
  <si>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</si>
  <si>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</si>
  <si>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</si>
  <si>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</si>
  <si>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</si>
  <si>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</si>
  <si>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</si>
  <si>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</si>
  <si>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</si>
  <si>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</si>
  <si>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</si>
  <si>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</si>
  <si>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</si>
  <si>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</si>
  <si>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</si>
  <si>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</si>
  <si>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</si>
  <si>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</si>
  <si>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</si>
  <si>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</si>
  <si>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</si>
  <si>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</si>
  <si>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</si>
  <si>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</si>
  <si>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</si>
  <si>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</si>
  <si>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</si>
  <si>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</si>
  <si>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</si>
  <si>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</si>
  <si>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</si>
  <si>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</si>
  <si>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</si>
  <si>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</si>
  <si>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</si>
  <si>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</si>
  <si>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</si>
  <si>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</si>
  <si>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</si>
  <si>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</si>
  <si>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</si>
  <si>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</si>
  <si>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</si>
  <si>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</si>
  <si>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</si>
  <si>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</si>
  <si>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</si>
  <si>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</si>
  <si>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</si>
  <si>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</si>
  <si>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</si>
  <si>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</si>
  <si>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</si>
  <si>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</si>
  <si>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</si>
  <si>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</si>
  <si>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</si>
  <si>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</si>
  <si>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</si>
  <si>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</si>
  <si>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</si>
  <si>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</si>
  <si>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</si>
  <si>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</si>
  <si>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</si>
  <si>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</si>
  <si>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</si>
  <si>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</si>
  <si>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</si>
  <si>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</si>
  <si>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</si>
  <si>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</si>
  <si>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</si>
  <si>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</si>
  <si>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</si>
  <si>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</si>
  <si>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</si>
  <si>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</si>
  <si>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</si>
  <si>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</si>
  <si>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</si>
  <si>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</si>
  <si>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</si>
  <si>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</si>
  <si>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</si>
  <si>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</si>
  <si>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</si>
  <si>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</si>
  <si>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</si>
  <si>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</si>
  <si>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</si>
  <si>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</si>
  <si>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</si>
  <si>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</si>
  <si>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</si>
  <si>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</si>
  <si>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</si>
  <si>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</si>
  <si>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</si>
  <si>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</si>
  <si>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</si>
  <si>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</si>
  <si>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</si>
  <si>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</si>
  <si>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</si>
  <si>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</si>
  <si>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</si>
  <si>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</si>
  <si>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</si>
  <si>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</si>
  <si>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</si>
  <si>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</si>
  <si>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</si>
  <si>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</si>
  <si>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</si>
  <si>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</si>
  <si>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</si>
  <si>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</si>
  <si>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Sensirion AG</t>
  </si>
  <si>
    <t>48-472-3676</t>
  </si>
  <si>
    <t>Switzerland</t>
  </si>
  <si>
    <t>Laubisrütistrasse 50, 8712 Stäfa, Switzerland</t>
  </si>
  <si>
    <t>Adrian Ruf</t>
  </si>
  <si>
    <t>adrian .ruf@sensirion.com</t>
  </si>
  <si>
    <t>+41 44 927 14 11</t>
  </si>
  <si>
    <t xml:space="preserve">Stephan Weber </t>
  </si>
  <si>
    <t>Head of Qualitiy Management</t>
  </si>
  <si>
    <t>info@sensirion.com</t>
  </si>
  <si>
    <t>+41 44 306 40 00</t>
  </si>
  <si>
    <t>100%</t>
  </si>
  <si>
    <t>https://sensirion.com/company/about-sensirion/sustainability</t>
  </si>
  <si>
    <t>Sensirion AG, Switzerland</t>
  </si>
  <si>
    <t>Molded Humidity Sensors</t>
  </si>
  <si>
    <t>all Sensirion Molded Humidity Sensors</t>
  </si>
  <si>
    <t>Molded Temperature Sensors</t>
  </si>
  <si>
    <t>all Sensirion Molded Temperature Sensors</t>
  </si>
  <si>
    <t>Bare Die Flow Chips</t>
  </si>
  <si>
    <t>all Sensirion Bare Die Flow Chips</t>
  </si>
  <si>
    <t xml:space="preserve">Molded Differential Pressure Sensors </t>
  </si>
  <si>
    <t>only SDP3x</t>
  </si>
  <si>
    <t>Multi-Pixel Gas Sensors</t>
  </si>
  <si>
    <t>all Sensirion Multi-Pixel Gas Sensors</t>
  </si>
  <si>
    <t>Thermal Conductivity Sensors</t>
  </si>
  <si>
    <t>all Sensirion  Thermal Conductivity Sensors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</si>
</sst>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 #,##0\ &quot;€&quot;_-;\-* #,##0\ &quot;€&quot;_-;_-* &quot;-&quot;\ &quot;€&quot;_-;_-@_-"/>
    <numFmt numFmtId="176" formatCode="_-* #,##0\ _€_-;\-* #,##0\ _€_-;_-* &quot;-&quot;\ _€_-;_-@_-"/>
    <numFmt numFmtId="177" formatCode="_-* #,##0.00\ &quot;€&quot;_-;\-* #,##0.00\ &quot;€&quot;_-;_-* &quot;-&quot;??\ &quot;€&quot;_-;_-@_-"/>
    <numFmt numFmtId="178" formatCode="_-* #,##0.00\ _€_-;\-* #,##0.00\ _€_-;_-* &quot;-&quot;??\ _€_-;_-@_-"/>
    <numFmt numFmtId="179" formatCode="_-&quot;€&quot;\ * #,##0_-;\-&quot;€&quot;\ * #,##0_-;_-&quot;€&quot;\ * &quot;-&quot;_-;_-@_-"/>
    <numFmt numFmtId="180"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79"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1816561</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info@sensirion.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https://sensirion.com/company/about-sensirion/sustainability"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296"/>
      <c r="B2" s="5" t="s">
        <v>818</v>
      </c>
      <c r="C2" s="3"/>
      <c r="D2" s="175"/>
      <c r="E2" s="3"/>
      <c r="F2" s="3"/>
      <c r="G2" s="25"/>
    </row>
    <row r="3" spans="1:7">
      <c r="A3" s="296"/>
      <c r="B3" s="3" t="s">
        <v>811</v>
      </c>
      <c r="C3" s="5"/>
      <c r="D3" s="176"/>
      <c r="E3" s="3"/>
      <c r="F3" s="5"/>
      <c r="G3" s="25"/>
    </row>
    <row r="4" spans="1:7" ht="15">
      <c r="A4" s="296"/>
      <c r="B4" s="30" t="s">
        <v>820</v>
      </c>
      <c r="C4" s="6"/>
      <c r="D4" s="177"/>
      <c r="E4" s="3"/>
      <c r="F4" s="6"/>
      <c r="G4" s="25"/>
    </row>
    <row r="5" spans="1:7" ht="13.2">
      <c r="A5" s="296"/>
      <c r="B5" s="29" t="s">
        <v>1009</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821</v>
      </c>
      <c r="C9" s="299"/>
      <c r="D9" s="299"/>
      <c r="E9" s="299"/>
      <c r="F9" s="299"/>
      <c r="G9" s="25"/>
    </row>
    <row r="10" spans="1:7" ht="27" customHeight="1">
      <c r="A10" s="296"/>
      <c r="B10" s="300" t="s">
        <v>425</v>
      </c>
      <c r="C10" s="300"/>
      <c r="D10" s="300"/>
      <c r="E10" s="300"/>
      <c r="F10" s="300"/>
      <c r="G10" s="25"/>
    </row>
    <row r="11" spans="1:7" ht="27" customHeight="1">
      <c r="A11" s="296"/>
      <c r="B11" s="301"/>
      <c r="C11" s="301"/>
      <c r="D11" s="301"/>
      <c r="E11" s="301"/>
      <c r="F11" s="301"/>
      <c r="G11" s="25"/>
    </row>
    <row r="12" spans="1:7">
      <c r="A12" s="296"/>
      <c r="B12" s="31" t="s">
        <v>819</v>
      </c>
      <c r="C12" s="32" t="s">
        <v>822</v>
      </c>
      <c r="D12" s="179" t="s">
        <v>823</v>
      </c>
      <c r="E12" s="32" t="s">
        <v>595</v>
      </c>
      <c r="F12" s="32" t="s">
        <v>596</v>
      </c>
      <c r="G12" s="25"/>
    </row>
    <row r="13" spans="1:7" ht="20.399999999999999">
      <c r="A13" s="296"/>
      <c r="B13" s="2">
        <v>1</v>
      </c>
      <c r="C13" s="27" t="s">
        <v>1057</v>
      </c>
      <c r="D13" s="28" t="s">
        <v>847</v>
      </c>
      <c r="E13" s="163" t="s">
        <v>824</v>
      </c>
      <c r="F13" s="163"/>
      <c r="G13" s="25"/>
    </row>
    <row r="14" spans="1:7" ht="30.6">
      <c r="A14" s="296"/>
      <c r="B14" s="2">
        <v>2</v>
      </c>
      <c r="C14" s="27" t="s">
        <v>1057</v>
      </c>
      <c r="D14" s="28" t="s">
        <v>994</v>
      </c>
      <c r="E14" s="163" t="s">
        <v>515</v>
      </c>
      <c r="F14" s="163" t="s">
        <v>516</v>
      </c>
      <c r="G14" s="25"/>
    </row>
    <row r="15" spans="1:7" ht="89.1" customHeight="1">
      <c r="A15" s="296"/>
      <c r="B15" s="302">
        <v>2.0099999999999998</v>
      </c>
      <c r="C15" s="293" t="s">
        <v>1057</v>
      </c>
      <c r="D15" s="305" t="s">
        <v>2198</v>
      </c>
      <c r="E15" s="164" t="s">
        <v>597</v>
      </c>
      <c r="F15" s="164" t="s">
        <v>600</v>
      </c>
      <c r="G15" s="25"/>
    </row>
    <row r="16" spans="1:7" ht="99" customHeight="1">
      <c r="A16" s="296"/>
      <c r="B16" s="303"/>
      <c r="C16" s="294"/>
      <c r="D16" s="306"/>
      <c r="E16" s="165"/>
      <c r="F16" s="165" t="s">
        <v>598</v>
      </c>
      <c r="G16" s="25"/>
    </row>
    <row r="17" spans="1:7" ht="63" customHeight="1">
      <c r="A17" s="296"/>
      <c r="B17" s="304"/>
      <c r="C17" s="295"/>
      <c r="D17" s="307"/>
      <c r="E17" s="27"/>
      <c r="F17" s="27" t="s">
        <v>599</v>
      </c>
      <c r="G17" s="25"/>
    </row>
    <row r="18" spans="1:7" ht="117" customHeight="1">
      <c r="A18" s="296"/>
      <c r="B18" s="302">
        <v>2.02</v>
      </c>
      <c r="C18" s="293" t="s">
        <v>1057</v>
      </c>
      <c r="D18" s="305" t="s">
        <v>2199</v>
      </c>
      <c r="E18" s="164" t="s">
        <v>426</v>
      </c>
      <c r="F18" s="164" t="s">
        <v>510</v>
      </c>
      <c r="G18" s="25"/>
    </row>
    <row r="19" spans="1:7" ht="71.099999999999994" customHeight="1">
      <c r="A19" s="296"/>
      <c r="B19" s="303"/>
      <c r="C19" s="294"/>
      <c r="D19" s="306"/>
      <c r="E19" s="165" t="s">
        <v>514</v>
      </c>
      <c r="F19" s="165" t="s">
        <v>427</v>
      </c>
      <c r="G19" s="25"/>
    </row>
    <row r="20" spans="1:7" ht="90.75" customHeight="1">
      <c r="A20" s="296"/>
      <c r="B20" s="303"/>
      <c r="C20" s="294"/>
      <c r="D20" s="306"/>
      <c r="E20" s="165"/>
      <c r="F20" s="165" t="s">
        <v>602</v>
      </c>
      <c r="G20" s="25"/>
    </row>
    <row r="21" spans="1:7" ht="74.25" customHeight="1">
      <c r="A21" s="296"/>
      <c r="B21" s="304"/>
      <c r="C21" s="295"/>
      <c r="D21" s="307"/>
      <c r="E21" s="27"/>
      <c r="F21" s="27" t="s">
        <v>601</v>
      </c>
      <c r="G21" s="25"/>
    </row>
    <row r="22" spans="1:7" ht="90" customHeight="1">
      <c r="A22" s="296"/>
      <c r="B22" s="311">
        <v>2.0299999999999998</v>
      </c>
      <c r="C22" s="311" t="s">
        <v>794</v>
      </c>
      <c r="D22" s="314" t="s">
        <v>2200</v>
      </c>
      <c r="E22" s="293" t="s">
        <v>424</v>
      </c>
      <c r="F22" s="164" t="s">
        <v>447</v>
      </c>
      <c r="G22" s="25"/>
    </row>
    <row r="23" spans="1:7" ht="109.5" customHeight="1">
      <c r="A23" s="296"/>
      <c r="B23" s="312"/>
      <c r="C23" s="312"/>
      <c r="D23" s="315"/>
      <c r="E23" s="294"/>
      <c r="F23" s="165" t="s">
        <v>795</v>
      </c>
      <c r="G23" s="25"/>
    </row>
    <row r="24" spans="1:7" ht="74.25" customHeight="1">
      <c r="A24" s="296"/>
      <c r="B24" s="313"/>
      <c r="C24" s="313"/>
      <c r="D24" s="316"/>
      <c r="E24" s="295"/>
      <c r="F24" s="27" t="s">
        <v>423</v>
      </c>
      <c r="G24" s="25"/>
    </row>
    <row r="25" spans="1:7" ht="72" customHeight="1">
      <c r="A25" s="296"/>
      <c r="B25" s="2" t="s">
        <v>445</v>
      </c>
      <c r="C25" s="27" t="s">
        <v>446</v>
      </c>
      <c r="D25" s="28" t="s">
        <v>2201</v>
      </c>
      <c r="E25" s="27" t="s">
        <v>2196</v>
      </c>
      <c r="F25" s="27" t="s">
        <v>448</v>
      </c>
      <c r="G25" s="25"/>
    </row>
    <row r="26" spans="1:7" ht="98.1" customHeight="1">
      <c r="A26" s="296"/>
      <c r="B26" s="308">
        <v>3</v>
      </c>
      <c r="C26" s="302" t="s">
        <v>66</v>
      </c>
      <c r="D26" s="305" t="s">
        <v>2202</v>
      </c>
      <c r="E26" s="293" t="s">
        <v>0</v>
      </c>
      <c r="F26" s="164" t="s">
        <v>60</v>
      </c>
      <c r="G26" s="25"/>
    </row>
    <row r="27" spans="1:7" ht="90" customHeight="1">
      <c r="A27" s="296"/>
      <c r="B27" s="309"/>
      <c r="C27" s="303"/>
      <c r="D27" s="306"/>
      <c r="E27" s="294"/>
      <c r="F27" s="165" t="s">
        <v>55</v>
      </c>
      <c r="G27" s="25"/>
    </row>
    <row r="28" spans="1:7" ht="19.350000000000001" customHeight="1">
      <c r="A28" s="296"/>
      <c r="B28" s="309"/>
      <c r="C28" s="303"/>
      <c r="D28" s="306"/>
      <c r="E28" s="294"/>
      <c r="F28" s="165" t="s">
        <v>56</v>
      </c>
      <c r="G28" s="25"/>
    </row>
    <row r="29" spans="1:7" ht="74.55" customHeight="1">
      <c r="A29" s="296"/>
      <c r="B29" s="309"/>
      <c r="C29" s="303"/>
      <c r="D29" s="306"/>
      <c r="E29" s="294"/>
      <c r="F29" s="165" t="s">
        <v>57</v>
      </c>
      <c r="G29" s="25"/>
    </row>
    <row r="30" spans="1:7" ht="62.55" customHeight="1">
      <c r="A30" s="296"/>
      <c r="B30" s="309"/>
      <c r="C30" s="303"/>
      <c r="D30" s="306"/>
      <c r="E30" s="294"/>
      <c r="F30" s="165" t="s">
        <v>58</v>
      </c>
      <c r="G30" s="25"/>
    </row>
    <row r="31" spans="1:7" ht="81" customHeight="1">
      <c r="A31" s="296"/>
      <c r="B31" s="309"/>
      <c r="C31" s="303"/>
      <c r="D31" s="306"/>
      <c r="E31" s="294"/>
      <c r="F31" s="165" t="s">
        <v>59</v>
      </c>
      <c r="G31" s="25"/>
    </row>
    <row r="32" spans="1:7" ht="48.75" customHeight="1">
      <c r="A32" s="296"/>
      <c r="B32" s="309"/>
      <c r="C32" s="303"/>
      <c r="D32" s="306"/>
      <c r="E32" s="294"/>
      <c r="F32" s="165" t="s">
        <v>62</v>
      </c>
      <c r="G32" s="25"/>
    </row>
    <row r="33" spans="1:7" ht="98.55" customHeight="1">
      <c r="A33" s="296"/>
      <c r="B33" s="309"/>
      <c r="C33" s="303"/>
      <c r="D33" s="306"/>
      <c r="E33" s="294"/>
      <c r="F33" s="165" t="s">
        <v>61</v>
      </c>
      <c r="G33" s="25"/>
    </row>
    <row r="34" spans="1:7" ht="89.1" customHeight="1">
      <c r="A34" s="296"/>
      <c r="B34" s="309"/>
      <c r="C34" s="303"/>
      <c r="D34" s="306"/>
      <c r="E34" s="294"/>
      <c r="F34" s="165" t="s">
        <v>63</v>
      </c>
      <c r="G34" s="25"/>
    </row>
    <row r="35" spans="1:7" ht="29.1" customHeight="1">
      <c r="A35" s="296"/>
      <c r="B35" s="309"/>
      <c r="C35" s="303"/>
      <c r="D35" s="306"/>
      <c r="E35" s="294"/>
      <c r="F35" s="165" t="s">
        <v>64</v>
      </c>
      <c r="G35" s="25"/>
    </row>
    <row r="36" spans="1:7" ht="112.2">
      <c r="A36" s="296"/>
      <c r="B36" s="310"/>
      <c r="C36" s="304"/>
      <c r="D36" s="307"/>
      <c r="E36" s="295"/>
      <c r="F36" s="166" t="s">
        <v>65</v>
      </c>
      <c r="G36" s="25"/>
    </row>
    <row r="37" spans="1:7" ht="102">
      <c r="A37" s="296"/>
      <c r="B37" s="141">
        <v>3.01</v>
      </c>
      <c r="C37" s="142" t="s">
        <v>66</v>
      </c>
      <c r="D37" s="28" t="s">
        <v>2203</v>
      </c>
      <c r="E37" s="167" t="s">
        <v>1294</v>
      </c>
      <c r="F37" s="168" t="s">
        <v>1396</v>
      </c>
      <c r="G37" s="25"/>
    </row>
    <row r="38" spans="1:7" ht="81.599999999999994">
      <c r="A38" s="296"/>
      <c r="B38" s="141">
        <v>3.02</v>
      </c>
      <c r="C38" s="142" t="s">
        <v>1326</v>
      </c>
      <c r="D38" s="28" t="s">
        <v>2204</v>
      </c>
      <c r="E38" s="167" t="s">
        <v>1341</v>
      </c>
      <c r="F38" s="168" t="s">
        <v>1397</v>
      </c>
      <c r="G38" s="25"/>
    </row>
    <row r="39" spans="1:7" ht="81.599999999999994">
      <c r="A39" s="296"/>
      <c r="B39" s="150">
        <v>4</v>
      </c>
      <c r="C39" s="149" t="s">
        <v>1492</v>
      </c>
      <c r="D39" s="28" t="s">
        <v>2205</v>
      </c>
      <c r="E39" s="27" t="s">
        <v>2151</v>
      </c>
      <c r="F39" s="27" t="s">
        <v>1493</v>
      </c>
      <c r="G39" s="25"/>
    </row>
    <row r="40" spans="1:7" ht="40.799999999999997">
      <c r="A40" s="296"/>
      <c r="B40" s="141">
        <v>4.01</v>
      </c>
      <c r="C40" s="149" t="s">
        <v>1492</v>
      </c>
      <c r="D40" s="28" t="s">
        <v>2207</v>
      </c>
      <c r="E40" s="27" t="s">
        <v>2163</v>
      </c>
      <c r="F40" s="27" t="s">
        <v>2167</v>
      </c>
      <c r="G40" s="25"/>
    </row>
    <row r="41" spans="1:7" ht="40.799999999999997">
      <c r="A41" s="296"/>
      <c r="B41" s="141" t="s">
        <v>2194</v>
      </c>
      <c r="C41" s="149" t="s">
        <v>1492</v>
      </c>
      <c r="D41" s="28" t="s">
        <v>2206</v>
      </c>
      <c r="E41" s="27" t="s">
        <v>2197</v>
      </c>
      <c r="F41" s="27" t="s">
        <v>2195</v>
      </c>
      <c r="G41" s="25"/>
    </row>
    <row r="42" spans="1:7" ht="40.799999999999997">
      <c r="A42" s="296"/>
      <c r="B42" s="141" t="s">
        <v>2228</v>
      </c>
      <c r="C42" s="149" t="s">
        <v>1492</v>
      </c>
      <c r="D42" s="28" t="s">
        <v>2233</v>
      </c>
      <c r="E42" s="27" t="s">
        <v>2196</v>
      </c>
      <c r="F42" s="27" t="s">
        <v>2229</v>
      </c>
      <c r="G42" s="25"/>
    </row>
    <row r="43" spans="1:7" ht="112.2">
      <c r="A43" s="296"/>
      <c r="B43" s="160">
        <v>4.0999999999999996</v>
      </c>
      <c r="C43" s="149" t="s">
        <v>2232</v>
      </c>
      <c r="D43" s="161">
        <v>42867</v>
      </c>
      <c r="E43" s="169" t="s">
        <v>2235</v>
      </c>
      <c r="F43" s="27" t="s">
        <v>2234</v>
      </c>
      <c r="G43" s="25"/>
    </row>
    <row r="44" spans="1:7" ht="71.400000000000006">
      <c r="A44" s="296"/>
      <c r="B44" s="160">
        <v>4.2</v>
      </c>
      <c r="C44" s="149" t="s">
        <v>2232</v>
      </c>
      <c r="D44" s="161">
        <v>42704</v>
      </c>
      <c r="E44" s="169" t="s">
        <v>2431</v>
      </c>
      <c r="F44" s="27" t="s">
        <v>2406</v>
      </c>
      <c r="G44" s="25"/>
    </row>
    <row r="45" spans="1:7" ht="132.6">
      <c r="A45" s="296"/>
      <c r="B45" s="202">
        <v>5</v>
      </c>
      <c r="C45" s="149" t="s">
        <v>2232</v>
      </c>
      <c r="D45" s="161">
        <v>42867</v>
      </c>
      <c r="E45" s="169" t="s">
        <v>12652</v>
      </c>
      <c r="F45" s="27" t="s">
        <v>12374</v>
      </c>
      <c r="G45" s="25"/>
    </row>
    <row r="46" spans="1:7" ht="30.6">
      <c r="A46" s="296"/>
      <c r="B46" s="160">
        <v>5.01</v>
      </c>
      <c r="C46" s="149" t="s">
        <v>2232</v>
      </c>
      <c r="D46" s="161">
        <v>42907</v>
      </c>
      <c r="E46" s="169" t="s">
        <v>15329</v>
      </c>
      <c r="F46" s="27" t="s">
        <v>12374</v>
      </c>
      <c r="G46" s="25"/>
    </row>
    <row r="47" spans="1:7" ht="61.2">
      <c r="A47" s="296"/>
      <c r="B47" s="160">
        <v>5.0999999999999996</v>
      </c>
      <c r="C47" s="149" t="s">
        <v>2232</v>
      </c>
      <c r="D47" s="161">
        <v>43070</v>
      </c>
      <c r="E47" s="169" t="s">
        <v>12862</v>
      </c>
      <c r="F47" s="27" t="s">
        <v>12863</v>
      </c>
      <c r="G47" s="25"/>
    </row>
    <row r="48" spans="1:7" ht="51">
      <c r="A48" s="296"/>
      <c r="B48" s="160">
        <v>5.1100000000000003</v>
      </c>
      <c r="C48" s="149" t="s">
        <v>13097</v>
      </c>
      <c r="D48" s="161">
        <v>43217</v>
      </c>
      <c r="E48" s="169" t="s">
        <v>13199</v>
      </c>
      <c r="F48" s="27" t="s">
        <v>13124</v>
      </c>
      <c r="G48" s="25"/>
    </row>
    <row r="49" spans="1:7" ht="51">
      <c r="A49" s="296"/>
      <c r="B49" s="160">
        <v>5.12</v>
      </c>
      <c r="C49" s="149" t="s">
        <v>13097</v>
      </c>
      <c r="D49" s="161">
        <v>43581</v>
      </c>
      <c r="E49" s="169" t="s">
        <v>13199</v>
      </c>
      <c r="F49" s="27" t="s">
        <v>13741</v>
      </c>
      <c r="G49" s="25"/>
    </row>
    <row r="50" spans="1:7" ht="71.400000000000006">
      <c r="A50" s="296"/>
      <c r="B50" s="202">
        <v>6</v>
      </c>
      <c r="C50" s="149" t="s">
        <v>13097</v>
      </c>
      <c r="D50" s="161">
        <v>43964</v>
      </c>
      <c r="E50" s="169" t="s">
        <v>13953</v>
      </c>
      <c r="F50" s="27" t="s">
        <v>13744</v>
      </c>
      <c r="G50" s="25"/>
    </row>
    <row r="51" spans="1:7" ht="40.799999999999997">
      <c r="A51" s="296"/>
      <c r="B51" s="160">
        <v>6.01</v>
      </c>
      <c r="C51" s="149" t="s">
        <v>13097</v>
      </c>
      <c r="D51" s="161">
        <v>43970</v>
      </c>
      <c r="E51" s="169" t="s">
        <v>15330</v>
      </c>
      <c r="F51" s="169" t="s">
        <v>13744</v>
      </c>
      <c r="G51" s="25"/>
    </row>
    <row r="52" spans="1:7" ht="40.799999999999997">
      <c r="A52" s="296"/>
      <c r="B52" s="160">
        <v>6.1</v>
      </c>
      <c r="C52" s="149" t="s">
        <v>13097</v>
      </c>
      <c r="D52" s="161">
        <v>44314</v>
      </c>
      <c r="E52" s="169" t="s">
        <v>15323</v>
      </c>
      <c r="F52" s="169" t="s">
        <v>14913</v>
      </c>
      <c r="G52" s="25"/>
    </row>
    <row r="53" spans="1:7" ht="40.799999999999997">
      <c r="A53" s="296"/>
      <c r="B53" s="160">
        <v>6.2</v>
      </c>
      <c r="C53" s="149" t="s">
        <v>13097</v>
      </c>
      <c r="D53" s="161">
        <v>44678</v>
      </c>
      <c r="E53" s="169" t="s">
        <v>15323</v>
      </c>
      <c r="F53" s="169" t="s">
        <v>15322</v>
      </c>
      <c r="G53" s="25"/>
    </row>
    <row r="54" spans="1:7" ht="40.799999999999997">
      <c r="A54" s="296"/>
      <c r="B54" s="160">
        <v>6.21</v>
      </c>
      <c r="C54" s="149" t="s">
        <v>13097</v>
      </c>
      <c r="D54" s="161">
        <v>44687</v>
      </c>
      <c r="E54" s="169" t="s">
        <v>15331</v>
      </c>
      <c r="F54" s="169" t="s">
        <v>15322</v>
      </c>
      <c r="G54" s="25"/>
    </row>
    <row r="55" spans="1:7" ht="40.799999999999997">
      <c r="A55" s="296"/>
      <c r="B55" s="160">
        <v>6.22</v>
      </c>
      <c r="C55" s="149" t="s">
        <v>13097</v>
      </c>
      <c r="D55" s="275">
        <v>44692</v>
      </c>
      <c r="E55" s="169" t="s">
        <v>15330</v>
      </c>
      <c r="F55" s="169" t="s">
        <v>15322</v>
      </c>
      <c r="G55" s="25"/>
    </row>
    <row r="56" spans="1:7" ht="51">
      <c r="A56" s="296"/>
      <c r="B56" s="202">
        <v>6.3</v>
      </c>
      <c r="C56" s="149" t="s">
        <v>13097</v>
      </c>
      <c r="D56" s="275">
        <v>45051</v>
      </c>
      <c r="E56" s="169" t="s">
        <v>15590</v>
      </c>
      <c r="F56" s="169" t="s">
        <v>15371</v>
      </c>
      <c r="G56" s="25"/>
    </row>
    <row r="57" spans="1:7" ht="40.799999999999997">
      <c r="A57" s="296"/>
      <c r="B57" s="160">
        <v>6.31</v>
      </c>
      <c r="C57" s="149" t="s">
        <v>13097</v>
      </c>
      <c r="D57" s="275">
        <v>45072</v>
      </c>
      <c r="E57" s="169" t="s">
        <v>15592</v>
      </c>
      <c r="F57" s="169" t="s">
        <v>15371</v>
      </c>
      <c r="G57" s="25"/>
    </row>
    <row r="58" spans="1:7" ht="40.5" customHeight="1">
      <c r="A58" s="296"/>
      <c r="B58" s="202">
        <v>6.4</v>
      </c>
      <c r="C58" s="149" t="s">
        <v>13097</v>
      </c>
      <c r="D58" s="275">
        <v>45408</v>
      </c>
      <c r="E58" s="169" t="s">
        <v>15594</v>
      </c>
      <c r="F58" s="169" t="s">
        <v>15593</v>
      </c>
      <c r="G58" s="25"/>
    </row>
    <row r="59" spans="1:7" ht="32.549999999999997" customHeight="1">
      <c r="A59" s="296"/>
      <c r="B59" s="202">
        <v>6.5</v>
      </c>
      <c r="C59" s="149" t="s">
        <v>13097</v>
      </c>
      <c r="D59" s="275">
        <v>45772</v>
      </c>
      <c r="E59" s="169" t="s">
        <v>15669</v>
      </c>
      <c r="F59" s="169" t="s">
        <v>15720</v>
      </c>
      <c r="G59" s="25"/>
    </row>
    <row r="60" spans="1:7" ht="13.2" thickBot="1">
      <c r="A60" s="297"/>
      <c r="B60" s="298" t="str">
        <f ca="1">OFFSET(L!$C$1,MATCH("General"&amp;"Cpy",L!$A:$A,0)-1,SL,,)</f>
        <v>© 2025 Responsible Minerals Initiative. All rights reserved.</v>
      </c>
      <c r="C60" s="298"/>
      <c r="D60" s="298"/>
      <c r="E60" s="298"/>
      <c r="F60" s="298"/>
      <c r="G60" s="26"/>
    </row>
    <row r="61" spans="1:7" ht="13.2"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11DBAA54-BD12-49ED-8F22-518DDC7DB91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C15F1CB6-DF7F-4357-9609-84C65A00DA42}"/>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2.4">
      <c r="A2" s="105" t="str">
        <f ca="1">OFFSET(L!$C$1,MATCH("Instructions"&amp;ADDRESS(ROW(),COLUMN(),4),L!$A:$A,0)-1,SL,,)</f>
        <v>Introduction</v>
      </c>
      <c r="B2" s="100" t="s">
        <v>1270</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6.2">
      <c r="A5" s="106"/>
      <c r="B5" s="100"/>
    </row>
    <row r="6" spans="1:2" ht="32.4">
      <c r="A6" s="105" t="str">
        <f ca="1">OFFSET(L!$C$1,MATCH("Instructions"&amp;ADDRESS(ROW(),COLUMN(),4),L!$A:$A,0)-1,SL,,)</f>
        <v>Instructions for completing Company Information questions (rows 8 - 22).
Provide comments in ENGLISH only</v>
      </c>
      <c r="B6" s="100" t="s">
        <v>1270</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1270</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1270</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2.4">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6.2">
      <c r="A47" s="106"/>
      <c r="B47" s="100"/>
    </row>
    <row r="48" spans="1:2" ht="32.4">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4.8">
      <c r="A58" s="102" t="str">
        <f ca="1">OFFSET(L!$C$1,MATCH("Instructions"&amp;ADDRESS(ROW(),COLUMN(),4),L!$A:$A,0)-1,SL,,)</f>
        <v>8. Smelter Street -  Provide the street name on which the smelter is located. This field is optional.</v>
      </c>
      <c r="B58" s="100" t="s">
        <v>1269</v>
      </c>
    </row>
    <row r="59" spans="1:2" ht="32.4">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2.4">
      <c r="A74" s="102"/>
      <c r="B74" s="100" t="s">
        <v>428</v>
      </c>
    </row>
    <row r="75" spans="1:2" ht="16.2">
      <c r="A75" s="102" t="str">
        <f ca="1">OFFSET(L!$C$1,MATCH("General"&amp;"Cpy",L!$A:$A,0)-1,SL,,)</f>
        <v>© 2025 Responsible Minerals Initiative. All rights reserved.</v>
      </c>
      <c r="B75" s="101"/>
    </row>
    <row r="76" spans="1:2" ht="16.2">
      <c r="A76" s="103" t="s">
        <v>1004</v>
      </c>
      <c r="B76" s="101"/>
    </row>
    <row r="77" spans="1:2" ht="16.8"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8.6">
      <c r="A10" s="74"/>
      <c r="B10" s="63" t="str">
        <f ca="1">OFFSET(L!$C$1,MATCH("Definitions"&amp;ADDRESS(ROW(),COLUMN(),4),L!$A:$A,0)-1,SL,,)</f>
        <v>DRC</v>
      </c>
      <c r="C10" s="63" t="str">
        <f ca="1">OFFSET(L!$C$1,MATCH("Definitions"&amp;ADDRESS(ROW(),COLUMN(),4),L!$A:$A,0)-1,SL,,)</f>
        <v>Democratic Republic of Congo</v>
      </c>
      <c r="D10" s="321"/>
      <c r="E10" s="100" t="s">
        <v>1278</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91.60000000000002">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81">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0500000000000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6.2">
      <c r="A32" s="74"/>
      <c r="B32" s="320" t="str">
        <f ca="1">OFFSET(L!$C$1,MATCH("General"&amp;"Cpy",L!$A:$A,0)-1,SL,,)</f>
        <v>© 2025 Responsible Minerals Initiative. All rights reserved.</v>
      </c>
      <c r="C32" s="320"/>
      <c r="D32" s="321"/>
      <c r="E32" s="100"/>
    </row>
    <row r="33" spans="1:4" ht="13.2" thickBot="1">
      <c r="A33" s="75"/>
      <c r="B33" s="153"/>
      <c r="C33" s="153"/>
      <c r="D33" s="322"/>
    </row>
    <row r="34" spans="1:4" ht="13.2"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15" zoomScalePageLayoutView="70" workbookViewId="0">
      <selection activeCell="D23" sqref="D23:E23"/>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8.81640625" hidden="1" customWidth="1"/>
  </cols>
  <sheetData>
    <row r="1" spans="1:34" ht="16.8"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6.2">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6.2">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7.04999999999999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72" t="s">
        <v>482</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49999999999997" customHeight="1">
      <c r="A10" s="38"/>
      <c r="B10" s="376" t="str">
        <f ca="1">OFFSET(L!$C$1,MATCH("Declaration"&amp;ADDRESS(ROW(),COLUMN(),4)&amp;LEFT($D$9,1),L!$A:$A,0)-1,SL,,)</f>
        <v>Go to Product List tab to enter products this declaration applies to</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6.2">
      <c r="A11" s="38"/>
      <c r="B11" s="377"/>
      <c r="C11" s="122"/>
      <c r="D11" s="342" t="str">
        <f ca="1">IF(D9=Q9,OFFSET(L!$C$1,MATCH("Declaration"&amp;ADDRESS(ROW(),COLUMN(),4),L!$A:$A,0)-1,SL,,),"")</f>
        <v>Click here to enter the products this declaration applies to</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t="s">
        <v>15818</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t="s">
        <v>15819</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15820</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15821</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78" t="s">
        <v>15822</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15823</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23" t="s">
        <v>15824</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15825</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78" t="s">
        <v>15826</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81" t="s">
        <v>15827</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84">
        <v>45866</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26" t="s">
        <v>476</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 xml:space="preserve">Tin  </v>
      </c>
      <c r="C27" s="35"/>
      <c r="D27" s="326" t="s">
        <v>476</v>
      </c>
      <c r="E27" s="327"/>
      <c r="F27" s="12"/>
      <c r="G27" s="328"/>
      <c r="H27" s="329"/>
      <c r="I27" s="329"/>
      <c r="J27" s="330"/>
      <c r="K27" s="36"/>
      <c r="L27" s="116"/>
      <c r="P27" s="45" t="str">
        <f>IF(D$27="No","","(*)")</f>
        <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6" t="s">
        <v>475</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326" t="s">
        <v>476</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 xml:space="preserve">Tin  </v>
      </c>
      <c r="C33" s="10"/>
      <c r="D33" s="326"/>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6" t="s">
        <v>475</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 xml:space="preserve">Tin  </v>
      </c>
      <c r="C39" s="10"/>
      <c r="D39" s="326"/>
      <c r="E39" s="327"/>
      <c r="F39" s="47"/>
      <c r="G39" s="328"/>
      <c r="H39" s="329"/>
      <c r="I39" s="329"/>
      <c r="J39" s="330"/>
      <c r="K39" s="36"/>
      <c r="L39" s="116"/>
      <c r="P39" s="45" t="str">
        <f>IF((OR(D$27="No",D$33="No")),"","(*)")</f>
        <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6" t="s">
        <v>476</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28"/>
      <c r="H45" s="329"/>
      <c r="I45" s="329"/>
      <c r="J45" s="330"/>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476</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 xml:space="preserve">Tin  </v>
      </c>
      <c r="C51" s="10"/>
      <c r="D51" s="326"/>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6" t="s">
        <v>476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 xml:space="preserve">Tin  </v>
      </c>
      <c r="C57" s="35"/>
      <c r="D57" s="347"/>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47" t="s">
        <v>15828</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 xml:space="preserve">Tin  </v>
      </c>
      <c r="C63" s="10"/>
      <c r="D63" s="326"/>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6" t="s">
        <v>475</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 xml:space="preserve">Tin  </v>
      </c>
      <c r="C69" s="35"/>
      <c r="D69" s="326"/>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6" t="s">
        <v>475</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476</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15829</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6.2">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6.8"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 hidden="1">
      <c r="B98" s="56" t="s">
        <v>477</v>
      </c>
      <c r="D98" s="282" t="str">
        <f>IF(AND(OR($D$26="Yes",$D$26=""),OR($D$32="Yes",$D$32="")),"Unknown","")</f>
        <v/>
      </c>
      <c r="E98" s="282" t="str">
        <f>IF(AND(OR($D$26="Yes",$D$26=""),OR($D$32="Yes",$D$32="")),"Greater than 75%","")</f>
        <v/>
      </c>
      <c r="G98" s="282" t="str">
        <f>IF(OR($D$27="Yes",$D$27=""),"Yes","")</f>
        <v/>
      </c>
    </row>
    <row r="99" spans="2:7" ht="15" hidden="1">
      <c r="B99" s="188">
        <v>1</v>
      </c>
      <c r="D99" s="282" t="str">
        <f>IF(AND(OR($D$27="Yes",$D$27=""),OR($D$33="Yes",$D$33="")),"Yes","")</f>
        <v/>
      </c>
      <c r="E99" s="282" t="str">
        <f>IF(AND(OR($D$26="Yes",$D$26=""),OR($D$32="Yes",$D$32="")),"Greater than 50%","")</f>
        <v/>
      </c>
      <c r="G99" s="282" t="str">
        <f>IF(OR($D$27="Yes",$D$27=""),"No","")</f>
        <v/>
      </c>
    </row>
    <row r="100" spans="2:7" ht="15" hidden="1">
      <c r="B100" s="236" t="s">
        <v>2432</v>
      </c>
      <c r="D100" s="282" t="str">
        <f>IF(AND(OR($D$27="Yes",$D$27=""),OR($D$33="Yes",$D$33="")),"No","")</f>
        <v/>
      </c>
      <c r="E100" s="282" t="str">
        <f>IF(AND(OR($D$26="Yes",$D$26=""),OR($D$32="Yes",$D$32="")),"50% or less","")</f>
        <v/>
      </c>
      <c r="G100" s="282" t="str">
        <f>IF(OR($D$28="Yes",$D$28=""),"Yes","")</f>
        <v>Yes</v>
      </c>
    </row>
    <row r="101" spans="2:7" ht="15" hidden="1">
      <c r="B101" s="236" t="s">
        <v>2433</v>
      </c>
      <c r="D101" s="282" t="str">
        <f>IF(AND(OR($D$27="Yes",$D$27=""),OR($D$33="Yes",$D$33="")),"Unknown","")</f>
        <v/>
      </c>
      <c r="E101" s="282" t="str">
        <f>IF(AND(OR($D$26="Yes",$D$26=""),OR($D$32="Yes",$D$32="")),"None","")</f>
        <v/>
      </c>
      <c r="G101" s="282" t="str">
        <f>IF(OR($D$28="Yes",$D$28=""),"No","")</f>
        <v>No</v>
      </c>
    </row>
    <row r="102" spans="2:7" ht="15" hidden="1">
      <c r="B102" s="236" t="s">
        <v>2434</v>
      </c>
      <c r="D102" s="282" t="str">
        <f>IF(AND(OR($D$28="Yes",$D$28=""),OR($D$34="Yes",$D$34="")),"Yes","")</f>
        <v>Yes</v>
      </c>
      <c r="E102" s="282" t="str">
        <f>IF(AND(OR($D$27="Yes",$D$27=""),OR($D$33="Yes",$D$33="")),"100%","")</f>
        <v/>
      </c>
      <c r="G102" s="282" t="str">
        <f>IF(OR($D$29="Yes",$D$29=""),"Yes","")</f>
        <v/>
      </c>
    </row>
    <row r="103" spans="2:7" ht="15" hidden="1">
      <c r="B103" s="236" t="s">
        <v>2435</v>
      </c>
      <c r="D103" s="282" t="str">
        <f>IF(AND(OR($D$28="Yes",$D$28=""),OR($D$34="Yes",$D$34="")),"No","")</f>
        <v>No</v>
      </c>
      <c r="E103" s="282" t="str">
        <f>IF(AND(OR($D$27="Yes",$D$27=""),OR($D$33="Yes",$D$33="")),"Greater than 90%","")</f>
        <v/>
      </c>
      <c r="G103" s="282" t="str">
        <f>IF(OR($D$29="Yes",$D$29=""),"No","")</f>
        <v/>
      </c>
    </row>
    <row r="104" spans="2:7" ht="15" hidden="1">
      <c r="B104" s="236" t="s">
        <v>478</v>
      </c>
      <c r="D104" s="282" t="str">
        <f>IF(AND(OR($D$28="Yes",$D$28=""),OR($D$34="Yes",$D$34="")),"Unknown","")</f>
        <v>Unknown</v>
      </c>
      <c r="E104" s="282" t="str">
        <f>IF(AND(OR($D$27="Yes",$D$27=""),OR($D$33="Yes",$D$33="")),"Greater than 75%","")</f>
        <v/>
      </c>
    </row>
    <row r="105" spans="2:7" ht="15" hidden="1">
      <c r="B105" s="236" t="s">
        <v>14853</v>
      </c>
      <c r="D105" s="282" t="str">
        <f>IF(AND(OR($D$29="Yes",$D$29=""),OR($D$35="Yes",$D$35="")),"Yes","")</f>
        <v/>
      </c>
      <c r="E105" s="282" t="str">
        <f>IF(AND(OR($D$27="Yes",$D$27=""),OR($D$33="Yes",$D$33="")),"Greater than 50%","")</f>
        <v/>
      </c>
    </row>
    <row r="106" spans="2:7" ht="15" hidden="1">
      <c r="B106" s="236" t="s">
        <v>12341</v>
      </c>
      <c r="D106" s="282" t="str">
        <f>IF(AND(OR($D$29="Yes",$D$29=""),OR($D$35="Yes",$D$35="")),"No","")</f>
        <v/>
      </c>
      <c r="E106" s="282" t="str">
        <f>IF(AND(OR($D$27="Yes",$D$27=""),OR($D$33="Yes",$D$33="")),"50% or less","")</f>
        <v/>
      </c>
    </row>
    <row r="107" spans="2:7" ht="15" hidden="1">
      <c r="B107" s="236" t="s">
        <v>476</v>
      </c>
      <c r="D107" s="282" t="str">
        <f>IF(AND(OR($D$29="Yes",$D$29=""),OR($D$35="Yes",$D$35="")),"Unknown","")</f>
        <v/>
      </c>
      <c r="E107" s="282" t="str">
        <f>IF(AND(OR($D$27="Yes",$D$27=""),OR($D$33="Yes",$D$33="")),"None","")</f>
        <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20" r:id="rId3" xr:uid="{CC4AA5D1-4451-4750-8814-93513FFBB7AC}"/>
    <hyperlink ref="G77" r:id="rId4" xr:uid="{92BDC386-88BF-44C2-A67B-1F882DA65B0A}"/>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35" sqref="A29:XFD35"/>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19.95" customHeight="1">
      <c r="A5" s="262" t="s">
        <v>633</v>
      </c>
      <c r="B5" s="182" t="str">
        <f ca="1">IF(LEN(A5)=0,"",INDEX('Smelter Look-up'!$A:$A,MATCH($A5,'Smelter Look-up'!$E:$E,0)))</f>
        <v>Gold</v>
      </c>
      <c r="C5" s="186" t="str">
        <f ca="1">IF(LEN(A5)=0,"",INDEX('Smelter Look-up'!$C:$C,MATCH($A5,'Smelter Look-up'!$E:$E,0)))</f>
        <v>Aida Chemical Industries Co., Ltd.</v>
      </c>
      <c r="D5" s="230"/>
      <c r="E5" s="182" t="str">
        <f ca="1">IF(ISERROR($V5),"",OFFSET('Smelter Look-up'!$D$4,$V5-4,0)&amp;"")</f>
        <v>JAPAN</v>
      </c>
      <c r="F5" s="182" t="str">
        <f ca="1">IF(ISERROR($V5),"",OFFSET('Smelter Look-up'!$E$4,$V5-4,0))</f>
        <v>CID000019</v>
      </c>
      <c r="G5" s="182" t="str">
        <f ca="1">IF(C5=$X$4,IF(ISERROR($V5),"Enter smelter details","RMI"),IF(ISERROR($V5),"",OFFSET('Smelter Look-up'!$F$4,$V5-4,0)))</f>
        <v>RMI</v>
      </c>
      <c r="H5" s="183">
        <f ca="1">IF(ISERROR($V5),"",OFFSET('Smelter Look-up'!$G$4,$V5-4,0))</f>
        <v>0</v>
      </c>
      <c r="I5" s="184" t="str">
        <f ca="1">IF(ISERROR($V5),"",OFFSET('Smelter Look-up'!$H$4,$V5-4,0))</f>
        <v>Fuchu</v>
      </c>
      <c r="J5" s="184" t="str">
        <f ca="1">IF(ISERROR($V5),"",OFFSET('Smelter Look-up'!$I$4,$V5-4,0))</f>
        <v>Tokyo</v>
      </c>
      <c r="K5" s="224"/>
      <c r="L5" s="224"/>
      <c r="M5" s="224"/>
      <c r="N5" s="224"/>
      <c r="O5" s="224"/>
      <c r="P5" s="185"/>
      <c r="Q5" s="225"/>
      <c r="R5" s="182" t="str">
        <f ca="1">IF(ISERROR($V5),"",OFFSET('Smelter Look-up'!$C$4,$V5-4,0)&amp;"")</f>
        <v>Aida Chemical Industries Co., Ltd.</v>
      </c>
      <c r="S5" s="181" t="str">
        <f ca="1">IF(B5="","",IF(ISERROR(MATCH($E5,CL,0)),"Unknown",INDIRECT("'C'!$A$"&amp;MATCH($E5,CL,0)+1)))</f>
        <v>JP</v>
      </c>
      <c r="T5" s="181" t="str">
        <f ca="1">IF(B5="","",IF(ISERROR(MATCH($J5,SorP!$B$1:$B$6226,0)),"",INDIRECT("'SorP'!$A$"&amp;MATCH($S5&amp;$J5,SorP!C:C,0))))</f>
        <v>JP-13</v>
      </c>
      <c r="U5" s="201"/>
      <c r="V5" s="226">
        <f ca="1">IF(C5="",NA(),IF(OR(C5="Smelter not listed",C5="Smelter not yet identified"),MATCH($B5&amp;$D5,'Smelter Look-up'!$J:$J,0),MATCH($B5&amp;$C5,'Smelter Look-up'!$J:$J,0)))</f>
        <v>13</v>
      </c>
      <c r="X5" s="227">
        <f t="shared" ref="X5" ca="1" si="0">IF(AND(C5="Smelter not listed",OR(LEN(D5)=0,LEN(E5)=0)),1,0)</f>
        <v>0</v>
      </c>
      <c r="AB5" s="228" t="str">
        <f t="shared" ref="AB5" ca="1" si="1">B5&amp;C5</f>
        <v>GoldAida Chemical Industries Co., Ltd.</v>
      </c>
    </row>
    <row r="6" spans="1:34" s="227" customFormat="1" ht="19.95" customHeight="1">
      <c r="A6" s="262" t="s">
        <v>634</v>
      </c>
      <c r="B6" s="182" t="str">
        <f ca="1">IF(LEN(A6)=0,"",INDEX('Smelter Look-up'!$A:$A,MATCH($A6,'Smelter Look-up'!$E:$E,0)))</f>
        <v>Gold</v>
      </c>
      <c r="C6" s="186" t="str">
        <f ca="1">IF(LEN(A6)=0,"",INDEX('Smelter Look-up'!$C:$C,MATCH($A6,'Smelter Look-up'!$E:$E,0)))</f>
        <v>Agosi AG</v>
      </c>
      <c r="D6" s="230"/>
      <c r="E6" s="182" t="str">
        <f ca="1">IF(ISERROR($V6),"",OFFSET('Smelter Look-up'!$D$4,$V6-4,0)&amp;"")</f>
        <v>GERMANY</v>
      </c>
      <c r="F6" s="182" t="str">
        <f ca="1">IF(ISERROR($V6),"",OFFSET('Smelter Look-up'!$E$4,$V6-4,0))</f>
        <v>CID000035</v>
      </c>
      <c r="G6" s="182" t="str">
        <f ca="1">IF(C6=$X$4,IF(ISERROR($V6),"Enter smelter details","RMI"),IF(ISERROR($V6),"",OFFSET('Smelter Look-up'!$F$4,$V6-4,0)))</f>
        <v>RMI</v>
      </c>
      <c r="H6" s="183">
        <f ca="1">IF(ISERROR($V6),"",OFFSET('Smelter Look-up'!$G$4,$V6-4,0))</f>
        <v>0</v>
      </c>
      <c r="I6" s="184" t="str">
        <f ca="1">IF(ISERROR($V6),"",OFFSET('Smelter Look-up'!$H$4,$V6-4,0))</f>
        <v>Pforzheim</v>
      </c>
      <c r="J6" s="184" t="str">
        <f ca="1">IF(ISERROR($V6),"",OFFSET('Smelter Look-up'!$I$4,$V6-4,0))</f>
        <v>Baden-Württemberg</v>
      </c>
      <c r="K6" s="224"/>
      <c r="L6" s="224"/>
      <c r="M6" s="224"/>
      <c r="N6" s="224"/>
      <c r="O6" s="224"/>
      <c r="P6" s="185"/>
      <c r="Q6" s="225"/>
      <c r="R6" s="182" t="str">
        <f ca="1">IF(ISERROR($V6),"",OFFSET('Smelter Look-up'!$C$4,$V6-4,0)&amp;"")</f>
        <v>Agosi AG</v>
      </c>
      <c r="S6" s="181" t="str">
        <f t="shared" ref="S6:S37" ca="1" si="2">IF(B6="","",IF(ISERROR(MATCH($E6,CL,0)),"Unknown",INDIRECT("'C'!$A$"&amp;MATCH($E6,CL,0)+1)))</f>
        <v>DE</v>
      </c>
      <c r="T6" s="181" t="str">
        <f ca="1">IF(B6="","",IF(ISERROR(MATCH($J6,SorP!$B$1:$B$6226,0)),"",INDIRECT("'SorP'!$A$"&amp;MATCH($S6&amp;$J6,SorP!C:C,0))))</f>
        <v>DE-BW</v>
      </c>
      <c r="U6" s="201"/>
      <c r="V6" s="226">
        <f ca="1">IF(C6="",NA(),IF(OR(C6="Smelter not listed",C6="Smelter not yet identified"),MATCH($B6&amp;$D6,'Smelter Look-up'!$J:$J,0),MATCH($B6&amp;$C6,'Smelter Look-up'!$J:$J,0)))</f>
        <v>10</v>
      </c>
      <c r="X6" s="227">
        <f t="shared" ref="X6:X37" ca="1" si="3">IF(AND(C6="Smelter not listed",OR(LEN(D6)=0,LEN(E6)=0)),1,0)</f>
        <v>0</v>
      </c>
      <c r="AB6" s="228" t="str">
        <f t="shared" ref="AB6:AB37" ca="1" si="4">B6&amp;C6</f>
        <v>GoldAgosi AG</v>
      </c>
    </row>
    <row r="7" spans="1:34" s="227" customFormat="1" ht="19.95" customHeight="1">
      <c r="A7" s="262" t="s">
        <v>637</v>
      </c>
      <c r="B7" s="182" t="str">
        <f ca="1">IF(LEN(A7)=0,"",INDEX('Smelter Look-up'!$A:$A,MATCH($A7,'Smelter Look-up'!$E:$E,0)))</f>
        <v>Gold</v>
      </c>
      <c r="C7" s="186" t="str">
        <f ca="1">IF(LEN(A7)=0,"",INDEX('Smelter Look-up'!$C:$C,MATCH($A7,'Smelter Look-up'!$E:$E,0)))</f>
        <v>Argor-Heraeus S.A.</v>
      </c>
      <c r="D7" s="230"/>
      <c r="E7" s="182" t="str">
        <f ca="1">IF(ISERROR($V7),"",OFFSET('Smelter Look-up'!$D$4,$V7-4,0)&amp;"")</f>
        <v>SWITZERLAND</v>
      </c>
      <c r="F7" s="182" t="str">
        <f ca="1">IF(ISERROR($V7),"",OFFSET('Smelter Look-up'!$E$4,$V7-4,0))</f>
        <v>CID000077</v>
      </c>
      <c r="G7" s="182" t="str">
        <f ca="1">IF(C7=$X$4,IF(ISERROR($V7),"Enter smelter details","RMI"),IF(ISERROR($V7),"",OFFSET('Smelter Look-up'!$F$4,$V7-4,0)))</f>
        <v>RMI</v>
      </c>
      <c r="H7" s="183">
        <f ca="1">IF(ISERROR($V7),"",OFFSET('Smelter Look-up'!$G$4,$V7-4,0))</f>
        <v>0</v>
      </c>
      <c r="I7" s="184" t="str">
        <f ca="1">IF(ISERROR($V7),"",OFFSET('Smelter Look-up'!$H$4,$V7-4,0))</f>
        <v>Mendrisio</v>
      </c>
      <c r="J7" s="184" t="str">
        <f ca="1">IF(ISERROR($V7),"",OFFSET('Smelter Look-up'!$I$4,$V7-4,0))</f>
        <v>Ticino</v>
      </c>
      <c r="K7" s="224"/>
      <c r="L7" s="224"/>
      <c r="M7" s="224"/>
      <c r="N7" s="224"/>
      <c r="O7" s="224"/>
      <c r="P7" s="185"/>
      <c r="Q7" s="225"/>
      <c r="R7" s="182" t="str">
        <f ca="1">IF(ISERROR($V7),"",OFFSET('Smelter Look-up'!$C$4,$V7-4,0)&amp;"")</f>
        <v>Argor-Heraeus S.A.</v>
      </c>
      <c r="S7" s="181" t="str">
        <f t="shared" ca="1" si="2"/>
        <v>CH</v>
      </c>
      <c r="T7" s="181" t="str">
        <f ca="1">IF(B7="","",IF(ISERROR(MATCH($J7,SorP!$B$1:$B$6226,0)),"",INDIRECT("'SorP'!$A$"&amp;MATCH($S7&amp;$J7,SorP!C:C,0))))</f>
        <v>CH-TI</v>
      </c>
      <c r="U7" s="201"/>
      <c r="V7" s="226">
        <f ca="1">IF(C7="",NA(),IF(OR(C7="Smelter not listed",C7="Smelter not yet identified"),MATCH($B7&amp;$D7,'Smelter Look-up'!$J:$J,0),MATCH($B7&amp;$C7,'Smelter Look-up'!$J:$J,0)))</f>
        <v>28</v>
      </c>
      <c r="X7" s="227">
        <f t="shared" ca="1" si="3"/>
        <v>0</v>
      </c>
      <c r="AB7" s="228" t="str">
        <f t="shared" ca="1" si="4"/>
        <v>GoldArgor-Heraeus S.A.</v>
      </c>
    </row>
    <row r="8" spans="1:34" s="227" customFormat="1" ht="19.95" customHeight="1">
      <c r="A8" s="262" t="s">
        <v>638</v>
      </c>
      <c r="B8" s="182" t="str">
        <f ca="1">IF(LEN(A8)=0,"",INDEX('Smelter Look-up'!$A:$A,MATCH($A8,'Smelter Look-up'!$E:$E,0)))</f>
        <v>Gold</v>
      </c>
      <c r="C8" s="186" t="str">
        <f ca="1">IF(LEN(A8)=0,"",INDEX('Smelter Look-up'!$C:$C,MATCH($A8,'Smelter Look-up'!$E:$E,0)))</f>
        <v>ASAHI METALFINE, Inc.</v>
      </c>
      <c r="D8" s="230"/>
      <c r="E8" s="182" t="str">
        <f ca="1">IF(ISERROR($V8),"",OFFSET('Smelter Look-up'!$D$4,$V8-4,0)&amp;"")</f>
        <v>JAPAN</v>
      </c>
      <c r="F8" s="182" t="str">
        <f ca="1">IF(ISERROR($V8),"",OFFSET('Smelter Look-up'!$E$4,$V8-4,0))</f>
        <v>CID000082</v>
      </c>
      <c r="G8" s="182" t="str">
        <f ca="1">IF(C8=$X$4,IF(ISERROR($V8),"Enter smelter details","RMI"),IF(ISERROR($V8),"",OFFSET('Smelter Look-up'!$F$4,$V8-4,0)))</f>
        <v>RMI</v>
      </c>
      <c r="H8" s="183">
        <f ca="1">IF(ISERROR($V8),"",OFFSET('Smelter Look-up'!$G$4,$V8-4,0))</f>
        <v>0</v>
      </c>
      <c r="I8" s="184" t="str">
        <f ca="1">IF(ISERROR($V8),"",OFFSET('Smelter Look-up'!$H$4,$V8-4,0))</f>
        <v>Bando</v>
      </c>
      <c r="J8" s="184" t="str">
        <f ca="1">IF(ISERROR($V8),"",OFFSET('Smelter Look-up'!$I$4,$V8-4,0))</f>
        <v>Ibaraki</v>
      </c>
      <c r="K8" s="224"/>
      <c r="L8" s="224"/>
      <c r="M8" s="224"/>
      <c r="N8" s="224"/>
      <c r="O8" s="224"/>
      <c r="P8" s="185"/>
      <c r="Q8" s="225"/>
      <c r="R8" s="182" t="str">
        <f ca="1">IF(ISERROR($V8),"",OFFSET('Smelter Look-up'!$C$4,$V8-4,0)&amp;"")</f>
        <v>ASAHI METALFINE, Inc.</v>
      </c>
      <c r="S8" s="181" t="str">
        <f t="shared" ca="1" si="2"/>
        <v>JP</v>
      </c>
      <c r="T8" s="181" t="str">
        <f ca="1">IF(B8="","",IF(ISERROR(MATCH($J8,SorP!$B$1:$B$6226,0)),"",INDIRECT("'SorP'!$A$"&amp;MATCH($S8&amp;$J8,SorP!C:C,0))))</f>
        <v>JP-08</v>
      </c>
      <c r="U8" s="201"/>
      <c r="V8" s="226">
        <f ca="1">IF(C8="",NA(),IF(OR(C8="Smelter not listed",C8="Smelter not yet identified"),MATCH($B8&amp;$D8,'Smelter Look-up'!$J:$J,0),MATCH($B8&amp;$C8,'Smelter Look-up'!$J:$J,0)))</f>
        <v>29</v>
      </c>
      <c r="X8" s="227">
        <f t="shared" ca="1" si="3"/>
        <v>0</v>
      </c>
      <c r="AB8" s="228" t="str">
        <f t="shared" ca="1" si="4"/>
        <v>GoldASAHI METALFINE, Inc.</v>
      </c>
    </row>
    <row r="9" spans="1:34" s="227" customFormat="1" ht="19.95" customHeight="1">
      <c r="A9" s="262" t="s">
        <v>639</v>
      </c>
      <c r="B9" s="182" t="str">
        <f ca="1">IF(LEN(A9)=0,"",INDEX('Smelter Look-up'!$A:$A,MATCH($A9,'Smelter Look-up'!$E:$E,0)))</f>
        <v>Gold</v>
      </c>
      <c r="C9" s="186" t="str">
        <f ca="1">IF(LEN(A9)=0,"",INDEX('Smelter Look-up'!$C:$C,MATCH($A9,'Smelter Look-up'!$E:$E,0)))</f>
        <v>Asaka Riken Co., Ltd.</v>
      </c>
      <c r="D9" s="230"/>
      <c r="E9" s="182" t="str">
        <f ca="1">IF(ISERROR($V9),"",OFFSET('Smelter Look-up'!$D$4,$V9-4,0)&amp;"")</f>
        <v>JAPAN</v>
      </c>
      <c r="F9" s="182" t="str">
        <f ca="1">IF(ISERROR($V9),"",OFFSET('Smelter Look-up'!$E$4,$V9-4,0))</f>
        <v>CID000090</v>
      </c>
      <c r="G9" s="182" t="str">
        <f ca="1">IF(C9=$X$4,IF(ISERROR($V9),"Enter smelter details","RMI"),IF(ISERROR($V9),"",OFFSET('Smelter Look-up'!$F$4,$V9-4,0)))</f>
        <v>RMI</v>
      </c>
      <c r="H9" s="183">
        <f ca="1">IF(ISERROR($V9),"",OFFSET('Smelter Look-up'!$G$4,$V9-4,0))</f>
        <v>0</v>
      </c>
      <c r="I9" s="184" t="str">
        <f ca="1">IF(ISERROR($V9),"",OFFSET('Smelter Look-up'!$H$4,$V9-4,0))</f>
        <v>Tamura</v>
      </c>
      <c r="J9" s="184" t="str">
        <f ca="1">IF(ISERROR($V9),"",OFFSET('Smelter Look-up'!$I$4,$V9-4,0))</f>
        <v>Fukushima</v>
      </c>
      <c r="K9" s="224"/>
      <c r="L9" s="224"/>
      <c r="M9" s="224"/>
      <c r="N9" s="224"/>
      <c r="O9" s="224"/>
      <c r="P9" s="185"/>
      <c r="Q9" s="225"/>
      <c r="R9" s="182" t="str">
        <f ca="1">IF(ISERROR($V9),"",OFFSET('Smelter Look-up'!$C$4,$V9-4,0)&amp;"")</f>
        <v>Asaka Riken Co., Ltd.</v>
      </c>
      <c r="S9" s="181" t="str">
        <f t="shared" ca="1" si="2"/>
        <v>JP</v>
      </c>
      <c r="T9" s="181" t="str">
        <f ca="1">IF(B9="","",IF(ISERROR(MATCH($J9,SorP!$B$1:$B$6226,0)),"",INDIRECT("'SorP'!$A$"&amp;MATCH($S9&amp;$J9,SorP!C:C,0))))</f>
        <v>JP-07</v>
      </c>
      <c r="U9" s="201"/>
      <c r="V9" s="226">
        <f ca="1">IF(C9="",NA(),IF(OR(C9="Smelter not listed",C9="Smelter not yet identified"),MATCH($B9&amp;$D9,'Smelter Look-up'!$J:$J,0),MATCH($B9&amp;$C9,'Smelter Look-up'!$J:$J,0)))</f>
        <v>33</v>
      </c>
      <c r="X9" s="227">
        <f t="shared" ca="1" si="3"/>
        <v>0</v>
      </c>
      <c r="AB9" s="228" t="str">
        <f t="shared" ca="1" si="4"/>
        <v>GoldAsaka Riken Co., Ltd.</v>
      </c>
    </row>
    <row r="10" spans="1:34" s="227" customFormat="1" ht="19.95" customHeight="1">
      <c r="A10" s="262" t="s">
        <v>641</v>
      </c>
      <c r="B10" s="182" t="str">
        <f ca="1">IF(LEN(A10)=0,"",INDEX('Smelter Look-up'!$A:$A,MATCH($A10,'Smelter Look-up'!$E:$E,0)))</f>
        <v>Gold</v>
      </c>
      <c r="C10" s="186" t="str">
        <f ca="1">IF(LEN(A10)=0,"",INDEX('Smelter Look-up'!$C:$C,MATCH($A10,'Smelter Look-up'!$E:$E,0)))</f>
        <v>Aurubis AG</v>
      </c>
      <c r="D10" s="230"/>
      <c r="E10" s="182" t="str">
        <f ca="1">IF(ISERROR($V10),"",OFFSET('Smelter Look-up'!$D$4,$V10-4,0)&amp;"")</f>
        <v>GERMANY</v>
      </c>
      <c r="F10" s="182" t="str">
        <f ca="1">IF(ISERROR($V10),"",OFFSET('Smelter Look-up'!$E$4,$V10-4,0))</f>
        <v>CID000113</v>
      </c>
      <c r="G10" s="182" t="str">
        <f ca="1">IF(C10=$X$4,IF(ISERROR($V10),"Enter smelter details","RMI"),IF(ISERROR($V10),"",OFFSET('Smelter Look-up'!$F$4,$V10-4,0)))</f>
        <v>RMI</v>
      </c>
      <c r="H10" s="183">
        <f ca="1">IF(ISERROR($V10),"",OFFSET('Smelter Look-up'!$G$4,$V10-4,0))</f>
        <v>0</v>
      </c>
      <c r="I10" s="184" t="str">
        <f ca="1">IF(ISERROR($V10),"",OFFSET('Smelter Look-up'!$H$4,$V10-4,0))</f>
        <v>Hamburg</v>
      </c>
      <c r="J10" s="184" t="str">
        <f ca="1">IF(ISERROR($V10),"",OFFSET('Smelter Look-up'!$I$4,$V10-4,0))</f>
        <v>Hamburg</v>
      </c>
      <c r="K10" s="224"/>
      <c r="L10" s="224"/>
      <c r="M10" s="224"/>
      <c r="N10" s="224"/>
      <c r="O10" s="224"/>
      <c r="P10" s="185"/>
      <c r="Q10" s="225"/>
      <c r="R10" s="182" t="str">
        <f ca="1">IF(ISERROR($V10),"",OFFSET('Smelter Look-up'!$C$4,$V10-4,0)&amp;"")</f>
        <v>Aurubis AG</v>
      </c>
      <c r="S10" s="181" t="str">
        <f t="shared" ca="1" si="2"/>
        <v>DE</v>
      </c>
      <c r="T10" s="181" t="str">
        <f ca="1">IF(B10="","",IF(ISERROR(MATCH($J10,SorP!$B$1:$B$6226,0)),"",INDIRECT("'SorP'!$A$"&amp;MATCH($S10&amp;$J10,SorP!C:C,0))))</f>
        <v>DE-HH</v>
      </c>
      <c r="U10" s="201"/>
      <c r="V10" s="226">
        <f ca="1">IF(C10="",NA(),IF(OR(C10="Smelter not listed",C10="Smelter not yet identified"),MATCH($B10&amp;$D10,'Smelter Look-up'!$J:$J,0),MATCH($B10&amp;$C10,'Smelter Look-up'!$J:$J,0)))</f>
        <v>39</v>
      </c>
      <c r="X10" s="227">
        <f t="shared" ca="1" si="3"/>
        <v>0</v>
      </c>
      <c r="AB10" s="228" t="str">
        <f t="shared" ca="1" si="4"/>
        <v>GoldAurubis AG</v>
      </c>
    </row>
    <row r="11" spans="1:34" s="227" customFormat="1" ht="19.95" customHeight="1">
      <c r="A11" s="262" t="s">
        <v>645</v>
      </c>
      <c r="B11" s="182" t="str">
        <f ca="1">IF(LEN(A11)=0,"",INDEX('Smelter Look-up'!$A:$A,MATCH($A11,'Smelter Look-up'!$E:$E,0)))</f>
        <v>Gold</v>
      </c>
      <c r="C11" s="186" t="str">
        <f ca="1">IF(LEN(A11)=0,"",INDEX('Smelter Look-up'!$C:$C,MATCH($A11,'Smelter Look-up'!$E:$E,0)))</f>
        <v>C. Hafner GmbH + Co. KG</v>
      </c>
      <c r="D11" s="230"/>
      <c r="E11" s="182" t="str">
        <f ca="1">IF(ISERROR($V11),"",OFFSET('Smelter Look-up'!$D$4,$V11-4,0)&amp;"")</f>
        <v>GERMANY</v>
      </c>
      <c r="F11" s="182" t="str">
        <f ca="1">IF(ISERROR($V11),"",OFFSET('Smelter Look-up'!$E$4,$V11-4,0))</f>
        <v>CID000176</v>
      </c>
      <c r="G11" s="182" t="str">
        <f ca="1">IF(C11=$X$4,IF(ISERROR($V11),"Enter smelter details","RMI"),IF(ISERROR($V11),"",OFFSET('Smelter Look-up'!$F$4,$V11-4,0)))</f>
        <v>RMI</v>
      </c>
      <c r="H11" s="183">
        <f ca="1">IF(ISERROR($V11),"",OFFSET('Smelter Look-up'!$G$4,$V11-4,0))</f>
        <v>0</v>
      </c>
      <c r="I11" s="184" t="str">
        <f ca="1">IF(ISERROR($V11),"",OFFSET('Smelter Look-up'!$H$4,$V11-4,0))</f>
        <v>Pforzheim</v>
      </c>
      <c r="J11" s="184" t="str">
        <f ca="1">IF(ISERROR($V11),"",OFFSET('Smelter Look-up'!$I$4,$V11-4,0))</f>
        <v>Baden-Württemberg</v>
      </c>
      <c r="K11" s="224"/>
      <c r="L11" s="224"/>
      <c r="M11" s="224"/>
      <c r="N11" s="224"/>
      <c r="O11" s="224"/>
      <c r="P11" s="185"/>
      <c r="Q11" s="225"/>
      <c r="R11" s="182" t="str">
        <f ca="1">IF(ISERROR($V11),"",OFFSET('Smelter Look-up'!$C$4,$V11-4,0)&amp;"")</f>
        <v>C. Hafner GmbH + Co. KG</v>
      </c>
      <c r="S11" s="181" t="str">
        <f t="shared" ca="1" si="2"/>
        <v>DE</v>
      </c>
      <c r="T11" s="181" t="str">
        <f ca="1">IF(B11="","",IF(ISERROR(MATCH($J11,SorP!$B$1:$B$6226,0)),"",INDIRECT("'SorP'!$A$"&amp;MATCH($S11&amp;$J11,SorP!C:C,0))))</f>
        <v>DE-BW</v>
      </c>
      <c r="U11" s="201"/>
      <c r="V11" s="226">
        <f ca="1">IF(C11="",NA(),IF(OR(C11="Smelter not listed",C11="Smelter not yet identified"),MATCH($B11&amp;$D11,'Smelter Look-up'!$J:$J,0),MATCH($B11&amp;$C11,'Smelter Look-up'!$J:$J,0)))</f>
        <v>45</v>
      </c>
      <c r="X11" s="227">
        <f t="shared" ca="1" si="3"/>
        <v>0</v>
      </c>
      <c r="AB11" s="228" t="str">
        <f t="shared" ca="1" si="4"/>
        <v>GoldC. Hafner GmbH + Co. KG</v>
      </c>
    </row>
    <row r="12" spans="1:34" s="227" customFormat="1" ht="19.95" customHeight="1">
      <c r="A12" s="262" t="s">
        <v>649</v>
      </c>
      <c r="B12" s="182" t="str">
        <f ca="1">IF(LEN(A12)=0,"",INDEX('Smelter Look-up'!$A:$A,MATCH($A12,'Smelter Look-up'!$E:$E,0)))</f>
        <v>Gold</v>
      </c>
      <c r="C12" s="186" t="str">
        <f ca="1">IF(LEN(A12)=0,"",INDEX('Smelter Look-up'!$C:$C,MATCH($A12,'Smelter Look-up'!$E:$E,0)))</f>
        <v>Chimet S.p.A.</v>
      </c>
      <c r="D12" s="230"/>
      <c r="E12" s="182" t="str">
        <f ca="1">IF(ISERROR($V12),"",OFFSET('Smelter Look-up'!$D$4,$V12-4,0)&amp;"")</f>
        <v>ITALY</v>
      </c>
      <c r="F12" s="182" t="str">
        <f ca="1">IF(ISERROR($V12),"",OFFSET('Smelter Look-up'!$E$4,$V12-4,0))</f>
        <v>CID000233</v>
      </c>
      <c r="G12" s="182" t="str">
        <f ca="1">IF(C12=$X$4,IF(ISERROR($V12),"Enter smelter details","RMI"),IF(ISERROR($V12),"",OFFSET('Smelter Look-up'!$F$4,$V12-4,0)))</f>
        <v>RMI</v>
      </c>
      <c r="H12" s="183">
        <f ca="1">IF(ISERROR($V12),"",OFFSET('Smelter Look-up'!$G$4,$V12-4,0))</f>
        <v>0</v>
      </c>
      <c r="I12" s="184" t="str">
        <f ca="1">IF(ISERROR($V12),"",OFFSET('Smelter Look-up'!$H$4,$V12-4,0))</f>
        <v>Arezzo</v>
      </c>
      <c r="J12" s="184" t="str">
        <f ca="1">IF(ISERROR($V12),"",OFFSET('Smelter Look-up'!$I$4,$V12-4,0))</f>
        <v>Toscana</v>
      </c>
      <c r="K12" s="224"/>
      <c r="L12" s="224"/>
      <c r="M12" s="224"/>
      <c r="N12" s="224"/>
      <c r="O12" s="224"/>
      <c r="P12" s="185"/>
      <c r="Q12" s="225"/>
      <c r="R12" s="182" t="str">
        <f ca="1">IF(ISERROR($V12),"",OFFSET('Smelter Look-up'!$C$4,$V12-4,0)&amp;"")</f>
        <v>Chimet S.p.A.</v>
      </c>
      <c r="S12" s="181" t="str">
        <f t="shared" ca="1" si="2"/>
        <v>IT</v>
      </c>
      <c r="T12" s="181" t="str">
        <f ca="1">IF(B12="","",IF(ISERROR(MATCH($J12,SorP!$B$1:$B$6226,0)),"",INDIRECT("'SorP'!$A$"&amp;MATCH($S12&amp;$J12,SorP!C:C,0))))</f>
        <v>IT-52</v>
      </c>
      <c r="U12" s="201"/>
      <c r="V12" s="226">
        <f ca="1">IF(C12="",NA(),IF(OR(C12="Smelter not listed",C12="Smelter not yet identified"),MATCH($B12&amp;$D12,'Smelter Look-up'!$J:$J,0),MATCH($B12&amp;$C12,'Smelter Look-up'!$J:$J,0)))</f>
        <v>56</v>
      </c>
      <c r="X12" s="227">
        <f t="shared" ca="1" si="3"/>
        <v>0</v>
      </c>
      <c r="AB12" s="228" t="str">
        <f t="shared" ca="1" si="4"/>
        <v>GoldChimet S.p.A.</v>
      </c>
    </row>
    <row r="13" spans="1:34" s="227" customFormat="1" ht="19.95" customHeight="1">
      <c r="A13" s="262" t="s">
        <v>654</v>
      </c>
      <c r="B13" s="182" t="str">
        <f ca="1">IF(LEN(A13)=0,"",INDEX('Smelter Look-up'!$A:$A,MATCH($A13,'Smelter Look-up'!$E:$E,0)))</f>
        <v>Gold</v>
      </c>
      <c r="C13" s="186" t="str">
        <f ca="1">IF(LEN(A13)=0,"",INDEX('Smelter Look-up'!$C:$C,MATCH($A13,'Smelter Look-up'!$E:$E,0)))</f>
        <v>Dowa</v>
      </c>
      <c r="D13" s="230"/>
      <c r="E13" s="182" t="str">
        <f ca="1">IF(ISERROR($V13),"",OFFSET('Smelter Look-up'!$D$4,$V13-4,0)&amp;"")</f>
        <v>JAPAN</v>
      </c>
      <c r="F13" s="182" t="str">
        <f ca="1">IF(ISERROR($V13),"",OFFSET('Smelter Look-up'!$E$4,$V13-4,0))</f>
        <v>CID000401</v>
      </c>
      <c r="G13" s="182" t="str">
        <f ca="1">IF(C13=$X$4,IF(ISERROR($V13),"Enter smelter details","RMI"),IF(ISERROR($V13),"",OFFSET('Smelter Look-up'!$F$4,$V13-4,0)))</f>
        <v>RMI</v>
      </c>
      <c r="H13" s="183">
        <f ca="1">IF(ISERROR($V13),"",OFFSET('Smelter Look-up'!$G$4,$V13-4,0))</f>
        <v>0</v>
      </c>
      <c r="I13" s="184" t="str">
        <f ca="1">IF(ISERROR($V13),"",OFFSET('Smelter Look-up'!$H$4,$V13-4,0))</f>
        <v>Kosaka</v>
      </c>
      <c r="J13" s="184" t="str">
        <f ca="1">IF(ISERROR($V13),"",OFFSET('Smelter Look-up'!$I$4,$V13-4,0))</f>
        <v>Akita</v>
      </c>
      <c r="K13" s="224"/>
      <c r="L13" s="224"/>
      <c r="M13" s="224"/>
      <c r="N13" s="224"/>
      <c r="O13" s="224"/>
      <c r="P13" s="185"/>
      <c r="Q13" s="225"/>
      <c r="R13" s="182" t="str">
        <f ca="1">IF(ISERROR($V13),"",OFFSET('Smelter Look-up'!$C$4,$V13-4,0)&amp;"")</f>
        <v>Dowa</v>
      </c>
      <c r="S13" s="181" t="str">
        <f t="shared" ca="1" si="2"/>
        <v>JP</v>
      </c>
      <c r="T13" s="181" t="str">
        <f ca="1">IF(B13="","",IF(ISERROR(MATCH($J13,SorP!$B$1:$B$6226,0)),"",INDIRECT("'SorP'!$A$"&amp;MATCH($S13&amp;$J13,SorP!C:C,0))))</f>
        <v>JP-05</v>
      </c>
      <c r="U13" s="201"/>
      <c r="V13" s="226">
        <f ca="1">IF(C13="",NA(),IF(OR(C13="Smelter not listed",C13="Smelter not yet identified"),MATCH($B13&amp;$D13,'Smelter Look-up'!$J:$J,0),MATCH($B13&amp;$C13,'Smelter Look-up'!$J:$J,0)))</f>
        <v>68</v>
      </c>
      <c r="X13" s="227">
        <f t="shared" ca="1" si="3"/>
        <v>0</v>
      </c>
      <c r="AB13" s="228" t="str">
        <f t="shared" ca="1" si="4"/>
        <v>GoldDowa</v>
      </c>
    </row>
    <row r="14" spans="1:34" s="227" customFormat="1" ht="19.95" customHeight="1">
      <c r="A14" s="262" t="s">
        <v>659</v>
      </c>
      <c r="B14" s="182" t="str">
        <f ca="1">IF(LEN(A14)=0,"",INDEX('Smelter Look-up'!$A:$A,MATCH($A14,'Smelter Look-up'!$E:$E,0)))</f>
        <v>Gold</v>
      </c>
      <c r="C14" s="186" t="str">
        <f ca="1">IF(LEN(A14)=0,"",INDEX('Smelter Look-up'!$C:$C,MATCH($A14,'Smelter Look-up'!$E:$E,0)))</f>
        <v>Heimerle + Meule GmbH</v>
      </c>
      <c r="D14" s="230"/>
      <c r="E14" s="182" t="str">
        <f ca="1">IF(ISERROR($V14),"",OFFSET('Smelter Look-up'!$D$4,$V14-4,0)&amp;"")</f>
        <v>GERMANY</v>
      </c>
      <c r="F14" s="182" t="str">
        <f ca="1">IF(ISERROR($V14),"",OFFSET('Smelter Look-up'!$E$4,$V14-4,0))</f>
        <v>CID000694</v>
      </c>
      <c r="G14" s="182" t="str">
        <f ca="1">IF(C14=$X$4,IF(ISERROR($V14),"Enter smelter details","RMI"),IF(ISERROR($V14),"",OFFSET('Smelter Look-up'!$F$4,$V14-4,0)))</f>
        <v>RMI</v>
      </c>
      <c r="H14" s="183">
        <f ca="1">IF(ISERROR($V14),"",OFFSET('Smelter Look-up'!$G$4,$V14-4,0))</f>
        <v>0</v>
      </c>
      <c r="I14" s="184" t="str">
        <f ca="1">IF(ISERROR($V14),"",OFFSET('Smelter Look-up'!$H$4,$V14-4,0))</f>
        <v>Pforzheim</v>
      </c>
      <c r="J14" s="184" t="str">
        <f ca="1">IF(ISERROR($V14),"",OFFSET('Smelter Look-up'!$I$4,$V14-4,0))</f>
        <v>Baden-Württemberg</v>
      </c>
      <c r="K14" s="224"/>
      <c r="L14" s="224"/>
      <c r="M14" s="224"/>
      <c r="N14" s="224"/>
      <c r="O14" s="224"/>
      <c r="P14" s="185"/>
      <c r="Q14" s="225"/>
      <c r="R14" s="182" t="str">
        <f ca="1">IF(ISERROR($V14),"",OFFSET('Smelter Look-up'!$C$4,$V14-4,0)&amp;"")</f>
        <v>Heimerle + Meule GmbH</v>
      </c>
      <c r="S14" s="181" t="str">
        <f t="shared" ca="1" si="2"/>
        <v>DE</v>
      </c>
      <c r="T14" s="181" t="str">
        <f ca="1">IF(B14="","",IF(ISERROR(MATCH($J14,SorP!$B$1:$B$6226,0)),"",INDIRECT("'SorP'!$A$"&amp;MATCH($S14&amp;$J14,SorP!C:C,0))))</f>
        <v>DE-BW</v>
      </c>
      <c r="U14" s="201"/>
      <c r="V14" s="226">
        <f ca="1">IF(C14="",NA(),IF(OR(C14="Smelter not listed",C14="Smelter not yet identified"),MATCH($B14&amp;$D14,'Smelter Look-up'!$J:$J,0),MATCH($B14&amp;$C14,'Smelter Look-up'!$J:$J,0)))</f>
        <v>104</v>
      </c>
      <c r="X14" s="227">
        <f t="shared" ca="1" si="3"/>
        <v>0</v>
      </c>
      <c r="AB14" s="228" t="str">
        <f t="shared" ca="1" si="4"/>
        <v>GoldHeimerle + Meule GmbH</v>
      </c>
    </row>
    <row r="15" spans="1:34" s="227" customFormat="1" ht="19.95" customHeight="1">
      <c r="A15" s="262" t="s">
        <v>660</v>
      </c>
      <c r="B15" s="182" t="str">
        <f ca="1">IF(LEN(A15)=0,"",INDEX('Smelter Look-up'!$A:$A,MATCH($A15,'Smelter Look-up'!$E:$E,0)))</f>
        <v>Gold</v>
      </c>
      <c r="C15" s="186" t="str">
        <f ca="1">IF(LEN(A15)=0,"",INDEX('Smelter Look-up'!$C:$C,MATCH($A15,'Smelter Look-up'!$E:$E,0)))</f>
        <v>Heraeus Metals Hong Kong Ltd.</v>
      </c>
      <c r="D15" s="230"/>
      <c r="E15" s="182" t="str">
        <f ca="1">IF(ISERROR($V15),"",OFFSET('Smelter Look-up'!$D$4,$V15-4,0)&amp;"")</f>
        <v>CHINA</v>
      </c>
      <c r="F15" s="182" t="str">
        <f ca="1">IF(ISERROR($V15),"",OFFSET('Smelter Look-up'!$E$4,$V15-4,0))</f>
        <v>CID000707</v>
      </c>
      <c r="G15" s="182" t="str">
        <f ca="1">IF(C15=$X$4,IF(ISERROR($V15),"Enter smelter details","RMI"),IF(ISERROR($V15),"",OFFSET('Smelter Look-up'!$F$4,$V15-4,0)))</f>
        <v>RMI</v>
      </c>
      <c r="H15" s="183">
        <f ca="1">IF(ISERROR($V15),"",OFFSET('Smelter Look-up'!$G$4,$V15-4,0))</f>
        <v>0</v>
      </c>
      <c r="I15" s="184" t="str">
        <f ca="1">IF(ISERROR($V15),"",OFFSET('Smelter Look-up'!$H$4,$V15-4,0))</f>
        <v>Fanling</v>
      </c>
      <c r="J15" s="184" t="str">
        <f ca="1">IF(ISERROR($V15),"",OFFSET('Smelter Look-up'!$I$4,$V15-4,0))</f>
        <v>Hong Kong SAR</v>
      </c>
      <c r="K15" s="224"/>
      <c r="L15" s="224"/>
      <c r="M15" s="224"/>
      <c r="N15" s="224"/>
      <c r="O15" s="224"/>
      <c r="P15" s="185"/>
      <c r="Q15" s="225"/>
      <c r="R15" s="182" t="str">
        <f ca="1">IF(ISERROR($V15),"",OFFSET('Smelter Look-up'!$C$4,$V15-4,0)&amp;"")</f>
        <v>Heraeus Metals Hong Kong Ltd.</v>
      </c>
      <c r="S15" s="181" t="str">
        <f t="shared" ca="1" si="2"/>
        <v>CN</v>
      </c>
      <c r="T15" s="181" t="str">
        <f ca="1">IF(B15="","",IF(ISERROR(MATCH($J15,SorP!$B$1:$B$6226,0)),"",INDIRECT("'SorP'!$A$"&amp;MATCH($S15&amp;$J15,SorP!C:C,0))))</f>
        <v>CN-HK</v>
      </c>
      <c r="U15" s="201"/>
      <c r="V15" s="226">
        <f ca="1">IF(C15="",NA(),IF(OR(C15="Smelter not listed",C15="Smelter not yet identified"),MATCH($B15&amp;$D15,'Smelter Look-up'!$J:$J,0),MATCH($B15&amp;$C15,'Smelter Look-up'!$J:$J,0)))</f>
        <v>110</v>
      </c>
      <c r="X15" s="227">
        <f t="shared" ca="1" si="3"/>
        <v>0</v>
      </c>
      <c r="AB15" s="228" t="str">
        <f t="shared" ca="1" si="4"/>
        <v>GoldHeraeus Metals Hong Kong Ltd.</v>
      </c>
    </row>
    <row r="16" spans="1:34" s="227" customFormat="1" ht="19.95" customHeight="1">
      <c r="A16" s="262" t="s">
        <v>661</v>
      </c>
      <c r="B16" s="182" t="str">
        <f ca="1">IF(LEN(A16)=0,"",INDEX('Smelter Look-up'!$A:$A,MATCH($A16,'Smelter Look-up'!$E:$E,0)))</f>
        <v>Gold</v>
      </c>
      <c r="C16" s="186" t="str">
        <f ca="1">IF(LEN(A16)=0,"",INDEX('Smelter Look-up'!$C:$C,MATCH($A16,'Smelter Look-up'!$E:$E,0)))</f>
        <v>Heraeus Germany GmbH Co. KG</v>
      </c>
      <c r="D16" s="230"/>
      <c r="E16" s="182" t="str">
        <f ca="1">IF(ISERROR($V16),"",OFFSET('Smelter Look-up'!$D$4,$V16-4,0)&amp;"")</f>
        <v>GERMANY</v>
      </c>
      <c r="F16" s="182" t="str">
        <f ca="1">IF(ISERROR($V16),"",OFFSET('Smelter Look-up'!$E$4,$V16-4,0))</f>
        <v>CID000711</v>
      </c>
      <c r="G16" s="182" t="str">
        <f ca="1">IF(C16=$X$4,IF(ISERROR($V16),"Enter smelter details","RMI"),IF(ISERROR($V16),"",OFFSET('Smelter Look-up'!$F$4,$V16-4,0)))</f>
        <v>RMI</v>
      </c>
      <c r="H16" s="183">
        <f ca="1">IF(ISERROR($V16),"",OFFSET('Smelter Look-up'!$G$4,$V16-4,0))</f>
        <v>0</v>
      </c>
      <c r="I16" s="184" t="str">
        <f ca="1">IF(ISERROR($V16),"",OFFSET('Smelter Look-up'!$H$4,$V16-4,0))</f>
        <v>Hanau</v>
      </c>
      <c r="J16" s="184" t="str">
        <f ca="1">IF(ISERROR($V16),"",OFFSET('Smelter Look-up'!$I$4,$V16-4,0))</f>
        <v>Hessen</v>
      </c>
      <c r="K16" s="224"/>
      <c r="L16" s="224"/>
      <c r="M16" s="224"/>
      <c r="N16" s="224"/>
      <c r="O16" s="224"/>
      <c r="P16" s="185"/>
      <c r="Q16" s="225"/>
      <c r="R16" s="182" t="str">
        <f ca="1">IF(ISERROR($V16),"",OFFSET('Smelter Look-up'!$C$4,$V16-4,0)&amp;"")</f>
        <v>Heraeus Germany GmbH Co. KG</v>
      </c>
      <c r="S16" s="181" t="str">
        <f t="shared" ca="1" si="2"/>
        <v>DE</v>
      </c>
      <c r="T16" s="181" t="str">
        <f ca="1">IF(B16="","",IF(ISERROR(MATCH($J16,SorP!$B$1:$B$6226,0)),"",INDIRECT("'SorP'!$A$"&amp;MATCH($S16&amp;$J16,SorP!C:C,0))))</f>
        <v>DE-HE</v>
      </c>
      <c r="U16" s="201"/>
      <c r="V16" s="226">
        <f ca="1">IF(C16="",NA(),IF(OR(C16="Smelter not listed",C16="Smelter not yet identified"),MATCH($B16&amp;$D16,'Smelter Look-up'!$J:$J,0),MATCH($B16&amp;$C16,'Smelter Look-up'!$J:$J,0)))</f>
        <v>108</v>
      </c>
      <c r="X16" s="227">
        <f t="shared" ca="1" si="3"/>
        <v>0</v>
      </c>
      <c r="AB16" s="228" t="str">
        <f t="shared" ca="1" si="4"/>
        <v>GoldHeraeus Germany GmbH Co. KG</v>
      </c>
    </row>
    <row r="17" spans="1:28" s="227" customFormat="1" ht="19.95" customHeight="1">
      <c r="A17" s="262" t="s">
        <v>685</v>
      </c>
      <c r="B17" s="182" t="str">
        <f ca="1">IF(LEN(A17)=0,"",INDEX('Smelter Look-up'!$A:$A,MATCH($A17,'Smelter Look-up'!$E:$E,0)))</f>
        <v>Gold</v>
      </c>
      <c r="C17" s="186" t="str">
        <f ca="1">IF(LEN(A17)=0,"",INDEX('Smelter Look-up'!$C:$C,MATCH($A17,'Smelter Look-up'!$E:$E,0)))</f>
        <v>Matsuda Sangyo Co., Ltd.</v>
      </c>
      <c r="D17" s="230"/>
      <c r="E17" s="182" t="str">
        <f ca="1">IF(ISERROR($V17),"",OFFSET('Smelter Look-up'!$D$4,$V17-4,0)&amp;"")</f>
        <v>JAPAN</v>
      </c>
      <c r="F17" s="182" t="str">
        <f ca="1">IF(ISERROR($V17),"",OFFSET('Smelter Look-up'!$E$4,$V17-4,0))</f>
        <v>CID001119</v>
      </c>
      <c r="G17" s="182" t="str">
        <f ca="1">IF(C17=$X$4,IF(ISERROR($V17),"Enter smelter details","RMI"),IF(ISERROR($V17),"",OFFSET('Smelter Look-up'!$F$4,$V17-4,0)))</f>
        <v>RMI</v>
      </c>
      <c r="H17" s="183">
        <f ca="1">IF(ISERROR($V17),"",OFFSET('Smelter Look-up'!$G$4,$V17-4,0))</f>
        <v>0</v>
      </c>
      <c r="I17" s="184" t="str">
        <f ca="1">IF(ISERROR($V17),"",OFFSET('Smelter Look-up'!$H$4,$V17-4,0))</f>
        <v>Iruma</v>
      </c>
      <c r="J17" s="184" t="str">
        <f ca="1">IF(ISERROR($V17),"",OFFSET('Smelter Look-up'!$I$4,$V17-4,0))</f>
        <v>Saitama</v>
      </c>
      <c r="K17" s="224"/>
      <c r="L17" s="224"/>
      <c r="M17" s="224"/>
      <c r="N17" s="224"/>
      <c r="O17" s="224"/>
      <c r="P17" s="185"/>
      <c r="Q17" s="225"/>
      <c r="R17" s="182" t="str">
        <f ca="1">IF(ISERROR($V17),"",OFFSET('Smelter Look-up'!$C$4,$V17-4,0)&amp;"")</f>
        <v>Matsuda Sangyo Co., Ltd.</v>
      </c>
      <c r="S17" s="181" t="str">
        <f t="shared" ca="1" si="2"/>
        <v>JP</v>
      </c>
      <c r="T17" s="181" t="str">
        <f ca="1">IF(B17="","",IF(ISERROR(MATCH($J17,SorP!$B$1:$B$6226,0)),"",INDIRECT("'SorP'!$A$"&amp;MATCH($S17&amp;$J17,SorP!C:C,0))))</f>
        <v>JP-11</v>
      </c>
      <c r="U17" s="201"/>
      <c r="V17" s="226">
        <f ca="1">IF(C17="",NA(),IF(OR(C17="Smelter not listed",C17="Smelter not yet identified"),MATCH($B17&amp;$D17,'Smelter Look-up'!$J:$J,0),MATCH($B17&amp;$C17,'Smelter Look-up'!$J:$J,0)))</f>
        <v>170</v>
      </c>
      <c r="X17" s="227">
        <f t="shared" ca="1" si="3"/>
        <v>0</v>
      </c>
      <c r="AB17" s="228" t="str">
        <f t="shared" ca="1" si="4"/>
        <v>GoldMatsuda Sangyo Co., Ltd.</v>
      </c>
    </row>
    <row r="18" spans="1:28" s="227" customFormat="1" ht="19.95" customHeight="1">
      <c r="A18" s="181" t="s">
        <v>688</v>
      </c>
      <c r="B18" s="182" t="str">
        <f ca="1">IF(LEN(A18)=0,"",INDEX('Smelter Look-up'!$A:$A,MATCH($A18,'Smelter Look-up'!$E:$E,0)))</f>
        <v>Gold</v>
      </c>
      <c r="C18" s="186" t="str">
        <f ca="1">IF(LEN(A18)=0,"",INDEX('Smelter Look-up'!$C:$C,MATCH($A18,'Smelter Look-up'!$E:$E,0)))</f>
        <v>Metalor Technologies S.A.</v>
      </c>
      <c r="D18" s="230"/>
      <c r="E18" s="182" t="str">
        <f ca="1">IF(ISERROR($V18),"",OFFSET('Smelter Look-up'!$D$4,$V18-4,0)&amp;"")</f>
        <v>SWITZERLAND</v>
      </c>
      <c r="F18" s="182" t="str">
        <f ca="1">IF(ISERROR($V18),"",OFFSET('Smelter Look-up'!$E$4,$V18-4,0))</f>
        <v>CID001153</v>
      </c>
      <c r="G18" s="182" t="str">
        <f ca="1">IF(C18=$X$4,IF(ISERROR($V18),"Enter smelter details","RMI"),IF(ISERROR($V18),"",OFFSET('Smelter Look-up'!$F$4,$V18-4,0)))</f>
        <v>RMI</v>
      </c>
      <c r="H18" s="183">
        <f ca="1">IF(ISERROR($V18),"",OFFSET('Smelter Look-up'!$G$4,$V18-4,0))</f>
        <v>0</v>
      </c>
      <c r="I18" s="184" t="str">
        <f ca="1">IF(ISERROR($V18),"",OFFSET('Smelter Look-up'!$H$4,$V18-4,0))</f>
        <v>Marin</v>
      </c>
      <c r="J18" s="184" t="str">
        <f ca="1">IF(ISERROR($V18),"",OFFSET('Smelter Look-up'!$I$4,$V18-4,0))</f>
        <v>Neuchâtel</v>
      </c>
      <c r="K18" s="224"/>
      <c r="L18" s="224"/>
      <c r="M18" s="224"/>
      <c r="N18" s="224"/>
      <c r="O18" s="224"/>
      <c r="P18" s="185"/>
      <c r="Q18" s="225"/>
      <c r="R18" s="182" t="str">
        <f ca="1">IF(ISERROR($V18),"",OFFSET('Smelter Look-up'!$C$4,$V18-4,0)&amp;"")</f>
        <v>Metalor Technologies S.A.</v>
      </c>
      <c r="S18" s="181" t="str">
        <f t="shared" ca="1" si="2"/>
        <v>CH</v>
      </c>
      <c r="T18" s="181" t="str">
        <f ca="1">IF(B18="","",IF(ISERROR(MATCH($J18,SorP!$B$1:$B$6226,0)),"",INDIRECT("'SorP'!$A$"&amp;MATCH($S18&amp;$J18,SorP!C:C,0))))</f>
        <v>CH-NE</v>
      </c>
      <c r="U18" s="201"/>
      <c r="V18" s="226">
        <f ca="1">IF(C18="",NA(),IF(OR(C18="Smelter not listed",C18="Smelter not yet identified"),MATCH($B18&amp;$D18,'Smelter Look-up'!$J:$J,0),MATCH($B18&amp;$C18,'Smelter Look-up'!$J:$J,0)))</f>
        <v>181</v>
      </c>
      <c r="X18" s="227">
        <f t="shared" ca="1" si="3"/>
        <v>0</v>
      </c>
      <c r="AB18" s="228" t="str">
        <f t="shared" ca="1" si="4"/>
        <v>GoldMetalor Technologies S.A.</v>
      </c>
    </row>
    <row r="19" spans="1:28" s="227" customFormat="1" ht="63">
      <c r="A19" s="181" t="s">
        <v>689</v>
      </c>
      <c r="B19" s="182" t="str">
        <f ca="1">IF(LEN(A19)=0,"",INDEX('Smelter Look-up'!$A:$A,MATCH($A19,'Smelter Look-up'!$E:$E,0)))</f>
        <v>Gold</v>
      </c>
      <c r="C19" s="186" t="str">
        <f ca="1">IF(LEN(A19)=0,"",INDEX('Smelter Look-up'!$C:$C,MATCH($A19,'Smelter Look-up'!$E:$E,0)))</f>
        <v>Metalor USA Refining Corporation</v>
      </c>
      <c r="D19" s="230"/>
      <c r="E19" s="182" t="str">
        <f ca="1">IF(ISERROR($V19),"",OFFSET('Smelter Look-up'!$D$4,$V19-4,0)&amp;"")</f>
        <v>UNITED STATES OF AMERICA</v>
      </c>
      <c r="F19" s="182" t="str">
        <f ca="1">IF(ISERROR($V19),"",OFFSET('Smelter Look-up'!$E$4,$V19-4,0))</f>
        <v>CID001157</v>
      </c>
      <c r="G19" s="182" t="str">
        <f ca="1">IF(C19=$X$4,IF(ISERROR($V19),"Enter smelter details","RMI"),IF(ISERROR($V19),"",OFFSET('Smelter Look-up'!$F$4,$V19-4,0)))</f>
        <v>RMI</v>
      </c>
      <c r="H19" s="183">
        <f ca="1">IF(ISERROR($V19),"",OFFSET('Smelter Look-up'!$G$4,$V19-4,0))</f>
        <v>0</v>
      </c>
      <c r="I19" s="184" t="str">
        <f ca="1">IF(ISERROR($V19),"",OFFSET('Smelter Look-up'!$H$4,$V19-4,0))</f>
        <v>North Attleboro</v>
      </c>
      <c r="J19" s="184" t="str">
        <f ca="1">IF(ISERROR($V19),"",OFFSET('Smelter Look-up'!$I$4,$V19-4,0))</f>
        <v>Massachusetts</v>
      </c>
      <c r="K19" s="224"/>
      <c r="L19" s="224"/>
      <c r="M19" s="224"/>
      <c r="N19" s="224"/>
      <c r="O19" s="224"/>
      <c r="P19" s="185"/>
      <c r="Q19" s="225"/>
      <c r="R19" s="182" t="str">
        <f ca="1">IF(ISERROR($V19),"",OFFSET('Smelter Look-up'!$C$4,$V19-4,0)&amp;"")</f>
        <v>Metalor USA Refining Corporation</v>
      </c>
      <c r="S19" s="181" t="str">
        <f t="shared" ca="1" si="2"/>
        <v>US</v>
      </c>
      <c r="T19" s="181" t="str">
        <f ca="1">IF(B19="","",IF(ISERROR(MATCH($J19,SorP!$B$1:$B$6226,0)),"",INDIRECT("'SorP'!$A$"&amp;MATCH($S19&amp;$J19,SorP!C:C,0))))</f>
        <v>US-MA</v>
      </c>
      <c r="U19" s="201"/>
      <c r="V19" s="226">
        <f ca="1">IF(C19="",NA(),IF(OR(C19="Smelter not listed",C19="Smelter not yet identified"),MATCH($B19&amp;$D19,'Smelter Look-up'!$J:$J,0),MATCH($B19&amp;$C19,'Smelter Look-up'!$J:$J,0)))</f>
        <v>182</v>
      </c>
      <c r="X19" s="227">
        <f t="shared" ca="1" si="3"/>
        <v>0</v>
      </c>
      <c r="AB19" s="228" t="str">
        <f t="shared" ca="1" si="4"/>
        <v>GoldMetalor USA Refining Corporation</v>
      </c>
    </row>
    <row r="20" spans="1:28" s="227" customFormat="1" ht="63">
      <c r="A20" s="181" t="s">
        <v>691</v>
      </c>
      <c r="B20" s="182" t="str">
        <f ca="1">IF(LEN(A20)=0,"",INDEX('Smelter Look-up'!$A:$A,MATCH($A20,'Smelter Look-up'!$E:$E,0)))</f>
        <v>Gold</v>
      </c>
      <c r="C20" s="186" t="str">
        <f ca="1">IF(LEN(A20)=0,"",INDEX('Smelter Look-up'!$C:$C,MATCH($A20,'Smelter Look-up'!$E:$E,0)))</f>
        <v>Mitsubishi Materials Corporation</v>
      </c>
      <c r="D20" s="230"/>
      <c r="E20" s="182" t="str">
        <f ca="1">IF(ISERROR($V20),"",OFFSET('Smelter Look-up'!$D$4,$V20-4,0)&amp;"")</f>
        <v>JAPAN</v>
      </c>
      <c r="F20" s="182" t="str">
        <f ca="1">IF(ISERROR($V20),"",OFFSET('Smelter Look-up'!$E$4,$V20-4,0))</f>
        <v>CID001188</v>
      </c>
      <c r="G20" s="182" t="str">
        <f ca="1">IF(C20=$X$4,IF(ISERROR($V20),"Enter smelter details","RMI"),IF(ISERROR($V20),"",OFFSET('Smelter Look-up'!$F$4,$V20-4,0)))</f>
        <v>RMI</v>
      </c>
      <c r="H20" s="183">
        <f ca="1">IF(ISERROR($V20),"",OFFSET('Smelter Look-up'!$G$4,$V20-4,0))</f>
        <v>0</v>
      </c>
      <c r="I20" s="184" t="str">
        <f ca="1">IF(ISERROR($V20),"",OFFSET('Smelter Look-up'!$H$4,$V20-4,0))</f>
        <v>Tokyo</v>
      </c>
      <c r="J20" s="184" t="str">
        <f ca="1">IF(ISERROR($V20),"",OFFSET('Smelter Look-up'!$I$4,$V20-4,0))</f>
        <v>Tokyo</v>
      </c>
      <c r="K20" s="224"/>
      <c r="L20" s="224"/>
      <c r="M20" s="224"/>
      <c r="N20" s="224"/>
      <c r="O20" s="224"/>
      <c r="P20" s="185"/>
      <c r="Q20" s="225"/>
      <c r="R20" s="182" t="str">
        <f ca="1">IF(ISERROR($V20),"",OFFSET('Smelter Look-up'!$C$4,$V20-4,0)&amp;"")</f>
        <v>Mitsubishi Materials Corporation</v>
      </c>
      <c r="S20" s="181" t="str">
        <f t="shared" ca="1" si="2"/>
        <v>JP</v>
      </c>
      <c r="T20" s="181" t="str">
        <f ca="1">IF(B20="","",IF(ISERROR(MATCH($J20,SorP!$B$1:$B$6226,0)),"",INDIRECT("'SorP'!$A$"&amp;MATCH($S20&amp;$J20,SorP!C:C,0))))</f>
        <v>JP-13</v>
      </c>
      <c r="U20" s="201"/>
      <c r="V20" s="226">
        <f ca="1">IF(C20="",NA(),IF(OR(C20="Smelter not listed",C20="Smelter not yet identified"),MATCH($B20&amp;$D20,'Smelter Look-up'!$J:$J,0),MATCH($B20&amp;$C20,'Smelter Look-up'!$J:$J,0)))</f>
        <v>189</v>
      </c>
      <c r="X20" s="227">
        <f t="shared" ca="1" si="3"/>
        <v>0</v>
      </c>
      <c r="AB20" s="228" t="str">
        <f t="shared" ca="1" si="4"/>
        <v>GoldMitsubishi Materials Corporation</v>
      </c>
    </row>
    <row r="21" spans="1:28" s="227" customFormat="1" ht="50.4">
      <c r="A21" s="181" t="s">
        <v>696</v>
      </c>
      <c r="B21" s="182" t="str">
        <f ca="1">IF(LEN(A21)=0,"",INDEX('Smelter Look-up'!$A:$A,MATCH($A21,'Smelter Look-up'!$E:$E,0)))</f>
        <v>Gold</v>
      </c>
      <c r="C21" s="186" t="str">
        <f ca="1">IF(LEN(A21)=0,"",INDEX('Smelter Look-up'!$C:$C,MATCH($A21,'Smelter Look-up'!$E:$E,0)))</f>
        <v>Nihon Material Co., Ltd.</v>
      </c>
      <c r="D21" s="230"/>
      <c r="E21" s="182" t="str">
        <f ca="1">IF(ISERROR($V21),"",OFFSET('Smelter Look-up'!$D$4,$V21-4,0)&amp;"")</f>
        <v>JAPAN</v>
      </c>
      <c r="F21" s="182" t="str">
        <f ca="1">IF(ISERROR($V21),"",OFFSET('Smelter Look-up'!$E$4,$V21-4,0))</f>
        <v>CID001259</v>
      </c>
      <c r="G21" s="182" t="str">
        <f ca="1">IF(C21=$X$4,IF(ISERROR($V21),"Enter smelter details","RMI"),IF(ISERROR($V21),"",OFFSET('Smelter Look-up'!$F$4,$V21-4,0)))</f>
        <v>RMI</v>
      </c>
      <c r="H21" s="183">
        <f ca="1">IF(ISERROR($V21),"",OFFSET('Smelter Look-up'!$G$4,$V21-4,0))</f>
        <v>0</v>
      </c>
      <c r="I21" s="184" t="str">
        <f ca="1">IF(ISERROR($V21),"",OFFSET('Smelter Look-up'!$H$4,$V21-4,0))</f>
        <v>Noda</v>
      </c>
      <c r="J21" s="184" t="str">
        <f ca="1">IF(ISERROR($V21),"",OFFSET('Smelter Look-up'!$I$4,$V21-4,0))</f>
        <v>Chiba</v>
      </c>
      <c r="K21" s="224"/>
      <c r="L21" s="224"/>
      <c r="M21" s="224"/>
      <c r="N21" s="224"/>
      <c r="O21" s="224"/>
      <c r="P21" s="185"/>
      <c r="Q21" s="225"/>
      <c r="R21" s="182" t="str">
        <f ca="1">IF(ISERROR($V21),"",OFFSET('Smelter Look-up'!$C$4,$V21-4,0)&amp;"")</f>
        <v>Nihon Material Co., Ltd.</v>
      </c>
      <c r="S21" s="181" t="str">
        <f t="shared" ca="1" si="2"/>
        <v>JP</v>
      </c>
      <c r="T21" s="181" t="str">
        <f ca="1">IF(B21="","",IF(ISERROR(MATCH($J21,SorP!$B$1:$B$6226,0)),"",INDIRECT("'SorP'!$A$"&amp;MATCH($S21&amp;$J21,SorP!C:C,0))))</f>
        <v>JP-12</v>
      </c>
      <c r="U21" s="201"/>
      <c r="V21" s="226">
        <f ca="1">IF(C21="",NA(),IF(OR(C21="Smelter not listed",C21="Smelter not yet identified"),MATCH($B21&amp;$D21,'Smelter Look-up'!$J:$J,0),MATCH($B21&amp;$C21,'Smelter Look-up'!$J:$J,0)))</f>
        <v>201</v>
      </c>
      <c r="X21" s="227">
        <f t="shared" ca="1" si="3"/>
        <v>0</v>
      </c>
      <c r="AB21" s="228" t="str">
        <f t="shared" ca="1" si="4"/>
        <v>GoldNihon Material Co., Ltd.</v>
      </c>
    </row>
    <row r="22" spans="1:28" s="227" customFormat="1" ht="75.599999999999994">
      <c r="A22" s="181" t="s">
        <v>697</v>
      </c>
      <c r="B22" s="182" t="str">
        <f ca="1">IF(LEN(A22)=0,"",INDEX('Smelter Look-up'!$A:$A,MATCH($A22,'Smelter Look-up'!$E:$E,0)))</f>
        <v>Gold</v>
      </c>
      <c r="C22" s="186" t="str">
        <f ca="1">IF(LEN(A22)=0,"",INDEX('Smelter Look-up'!$C:$C,MATCH($A22,'Smelter Look-up'!$E:$E,0)))</f>
        <v>Ohura Precious Metal Industry Co., Ltd.</v>
      </c>
      <c r="D22" s="230"/>
      <c r="E22" s="182" t="str">
        <f ca="1">IF(ISERROR($V22),"",OFFSET('Smelter Look-up'!$D$4,$V22-4,0)&amp;"")</f>
        <v>JAPAN</v>
      </c>
      <c r="F22" s="182" t="str">
        <f ca="1">IF(ISERROR($V22),"",OFFSET('Smelter Look-up'!$E$4,$V22-4,0))</f>
        <v>CID001325</v>
      </c>
      <c r="G22" s="182" t="str">
        <f ca="1">IF(C22=$X$4,IF(ISERROR($V22),"Enter smelter details","RMI"),IF(ISERROR($V22),"",OFFSET('Smelter Look-up'!$F$4,$V22-4,0)))</f>
        <v>RMI</v>
      </c>
      <c r="H22" s="183">
        <f ca="1">IF(ISERROR($V22),"",OFFSET('Smelter Look-up'!$G$4,$V22-4,0))</f>
        <v>0</v>
      </c>
      <c r="I22" s="184" t="str">
        <f ca="1">IF(ISERROR($V22),"",OFFSET('Smelter Look-up'!$H$4,$V22-4,0))</f>
        <v>Nara-shi</v>
      </c>
      <c r="J22" s="184" t="str">
        <f ca="1">IF(ISERROR($V22),"",OFFSET('Smelter Look-up'!$I$4,$V22-4,0))</f>
        <v>Nara</v>
      </c>
      <c r="K22" s="224"/>
      <c r="L22" s="224"/>
      <c r="M22" s="224"/>
      <c r="N22" s="224"/>
      <c r="O22" s="224"/>
      <c r="P22" s="185"/>
      <c r="Q22" s="225"/>
      <c r="R22" s="182" t="str">
        <f ca="1">IF(ISERROR($V22),"",OFFSET('Smelter Look-up'!$C$4,$V22-4,0)&amp;"")</f>
        <v>Ohura Precious Metal Industry Co., Ltd.</v>
      </c>
      <c r="S22" s="181" t="str">
        <f t="shared" ca="1" si="2"/>
        <v>JP</v>
      </c>
      <c r="T22" s="181" t="str">
        <f ca="1">IF(B22="","",IF(ISERROR(MATCH($J22,SorP!$B$1:$B$6226,0)),"",INDIRECT("'SorP'!$A$"&amp;MATCH($S22&amp;$J22,SorP!C:C,0))))</f>
        <v>JP-29</v>
      </c>
      <c r="U22" s="201"/>
      <c r="V22" s="226">
        <f ca="1">IF(C22="",NA(),IF(OR(C22="Smelter not listed",C22="Smelter not yet identified"),MATCH($B22&amp;$D22,'Smelter Look-up'!$J:$J,0),MATCH($B22&amp;$C22,'Smelter Look-up'!$J:$J,0)))</f>
        <v>207</v>
      </c>
      <c r="X22" s="227">
        <f t="shared" ca="1" si="3"/>
        <v>0</v>
      </c>
      <c r="AB22" s="228" t="str">
        <f t="shared" ca="1" si="4"/>
        <v>GoldOhura Precious Metal Industry Co., Ltd.</v>
      </c>
    </row>
    <row r="23" spans="1:28" s="227" customFormat="1" ht="63">
      <c r="A23" s="181" t="s">
        <v>708</v>
      </c>
      <c r="B23" s="182" t="str">
        <f ca="1">IF(LEN(A23)=0,"",INDEX('Smelter Look-up'!$A:$A,MATCH($A23,'Smelter Look-up'!$E:$E,0)))</f>
        <v>Gold</v>
      </c>
      <c r="C23" s="186" t="str">
        <f ca="1">IF(LEN(A23)=0,"",INDEX('Smelter Look-up'!$C:$C,MATCH($A23,'Smelter Look-up'!$E:$E,0)))</f>
        <v>SEMPSA Joyeria Plateria S.A.</v>
      </c>
      <c r="D23" s="230"/>
      <c r="E23" s="182" t="str">
        <f ca="1">IF(ISERROR($V23),"",OFFSET('Smelter Look-up'!$D$4,$V23-4,0)&amp;"")</f>
        <v>SPAIN</v>
      </c>
      <c r="F23" s="182" t="str">
        <f ca="1">IF(ISERROR($V23),"",OFFSET('Smelter Look-up'!$E$4,$V23-4,0))</f>
        <v>CID001585</v>
      </c>
      <c r="G23" s="182" t="str">
        <f ca="1">IF(C23=$X$4,IF(ISERROR($V23),"Enter smelter details","RMI"),IF(ISERROR($V23),"",OFFSET('Smelter Look-up'!$F$4,$V23-4,0)))</f>
        <v>RMI</v>
      </c>
      <c r="H23" s="183">
        <f ca="1">IF(ISERROR($V23),"",OFFSET('Smelter Look-up'!$G$4,$V23-4,0))</f>
        <v>0</v>
      </c>
      <c r="I23" s="184" t="str">
        <f ca="1">IF(ISERROR($V23),"",OFFSET('Smelter Look-up'!$H$4,$V23-4,0))</f>
        <v>Madrid</v>
      </c>
      <c r="J23" s="184" t="str">
        <f ca="1">IF(ISERROR($V23),"",OFFSET('Smelter Look-up'!$I$4,$V23-4,0))</f>
        <v>Madrid, Comunidad de</v>
      </c>
      <c r="K23" s="224"/>
      <c r="L23" s="224"/>
      <c r="M23" s="224"/>
      <c r="N23" s="224"/>
      <c r="O23" s="224"/>
      <c r="P23" s="185"/>
      <c r="Q23" s="225"/>
      <c r="R23" s="182" t="str">
        <f ca="1">IF(ISERROR($V23),"",OFFSET('Smelter Look-up'!$C$4,$V23-4,0)&amp;"")</f>
        <v>SEMPSA Joyeria Plateria S.A.</v>
      </c>
      <c r="S23" s="181" t="str">
        <f t="shared" ca="1" si="2"/>
        <v>ES</v>
      </c>
      <c r="T23" s="181" t="str">
        <f ca="1">IF(B23="","",IF(ISERROR(MATCH($J23,SorP!$B$1:$B$6226,0)),"",INDIRECT("'SorP'!$A$"&amp;MATCH($S23&amp;$J23,SorP!C:C,0))))</f>
        <v>ES-MD</v>
      </c>
      <c r="U23" s="201"/>
      <c r="V23" s="226">
        <f ca="1">IF(C23="",NA(),IF(OR(C23="Smelter not listed",C23="Smelter not yet identified"),MATCH($B23&amp;$D23,'Smelter Look-up'!$J:$J,0),MATCH($B23&amp;$C23,'Smelter Look-up'!$J:$J,0)))</f>
        <v>242</v>
      </c>
      <c r="X23" s="227">
        <f t="shared" ca="1" si="3"/>
        <v>0</v>
      </c>
      <c r="AB23" s="228" t="str">
        <f t="shared" ca="1" si="4"/>
        <v>GoldSEMPSA Joyeria Plateria S.A.</v>
      </c>
    </row>
    <row r="24" spans="1:28" s="227" customFormat="1" ht="63">
      <c r="A24" s="181" t="s">
        <v>712</v>
      </c>
      <c r="B24" s="182" t="str">
        <f ca="1">IF(LEN(A24)=0,"",INDEX('Smelter Look-up'!$A:$A,MATCH($A24,'Smelter Look-up'!$E:$E,0)))</f>
        <v>Gold</v>
      </c>
      <c r="C24" s="186" t="str">
        <f ca="1">IF(LEN(A24)=0,"",INDEX('Smelter Look-up'!$C:$C,MATCH($A24,'Smelter Look-up'!$E:$E,0)))</f>
        <v>Sumitomo Metal Mining Co., Ltd.</v>
      </c>
      <c r="D24" s="230"/>
      <c r="E24" s="182" t="str">
        <f ca="1">IF(ISERROR($V24),"",OFFSET('Smelter Look-up'!$D$4,$V24-4,0)&amp;"")</f>
        <v>JAPAN</v>
      </c>
      <c r="F24" s="182" t="str">
        <f ca="1">IF(ISERROR($V24),"",OFFSET('Smelter Look-up'!$E$4,$V24-4,0))</f>
        <v>CID001798</v>
      </c>
      <c r="G24" s="182" t="str">
        <f ca="1">IF(C24=$X$4,IF(ISERROR($V24),"Enter smelter details","RMI"),IF(ISERROR($V24),"",OFFSET('Smelter Look-up'!$F$4,$V24-4,0)))</f>
        <v>RMI</v>
      </c>
      <c r="H24" s="183">
        <f ca="1">IF(ISERROR($V24),"",OFFSET('Smelter Look-up'!$G$4,$V24-4,0))</f>
        <v>0</v>
      </c>
      <c r="I24" s="184" t="str">
        <f ca="1">IF(ISERROR($V24),"",OFFSET('Smelter Look-up'!$H$4,$V24-4,0))</f>
        <v>Saijo</v>
      </c>
      <c r="J24" s="184" t="str">
        <f ca="1">IF(ISERROR($V24),"",OFFSET('Smelter Look-up'!$I$4,$V24-4,0))</f>
        <v>Ehime</v>
      </c>
      <c r="K24" s="224"/>
      <c r="L24" s="224"/>
      <c r="M24" s="224"/>
      <c r="N24" s="224"/>
      <c r="O24" s="224"/>
      <c r="P24" s="185"/>
      <c r="Q24" s="225"/>
      <c r="R24" s="182" t="str">
        <f ca="1">IF(ISERROR($V24),"",OFFSET('Smelter Look-up'!$C$4,$V24-4,0)&amp;"")</f>
        <v>Sumitomo Metal Mining Co., Ltd.</v>
      </c>
      <c r="S24" s="181" t="str">
        <f t="shared" ca="1" si="2"/>
        <v>JP</v>
      </c>
      <c r="T24" s="181" t="str">
        <f ca="1">IF(B24="","",IF(ISERROR(MATCH($J24,SorP!$B$1:$B$6226,0)),"",INDIRECT("'SorP'!$A$"&amp;MATCH($S24&amp;$J24,SorP!C:C,0))))</f>
        <v>JP-38</v>
      </c>
      <c r="U24" s="201"/>
      <c r="V24" s="226">
        <f ca="1">IF(C24="",NA(),IF(OR(C24="Smelter not listed",C24="Smelter not yet identified"),MATCH($B24&amp;$D24,'Smelter Look-up'!$J:$J,0),MATCH($B24&amp;$C24,'Smelter Look-up'!$J:$J,0)))</f>
        <v>274</v>
      </c>
      <c r="X24" s="227">
        <f t="shared" ca="1" si="3"/>
        <v>0</v>
      </c>
      <c r="AB24" s="228" t="str">
        <f t="shared" ca="1" si="4"/>
        <v>GoldSumitomo Metal Mining Co., Ltd.</v>
      </c>
    </row>
    <row r="25" spans="1:28" s="227" customFormat="1" ht="63">
      <c r="A25" s="181" t="s">
        <v>713</v>
      </c>
      <c r="B25" s="182" t="str">
        <f ca="1">IF(LEN(A25)=0,"",INDEX('Smelter Look-up'!$A:$A,MATCH($A25,'Smelter Look-up'!$E:$E,0)))</f>
        <v>Gold</v>
      </c>
      <c r="C25" s="186" t="str">
        <f ca="1">IF(LEN(A25)=0,"",INDEX('Smelter Look-up'!$C:$C,MATCH($A25,'Smelter Look-up'!$E:$E,0)))</f>
        <v>Tanaka Kikinzoku Kogyo K.K.</v>
      </c>
      <c r="D25" s="230"/>
      <c r="E25" s="182" t="str">
        <f ca="1">IF(ISERROR($V25),"",OFFSET('Smelter Look-up'!$D$4,$V25-4,0)&amp;"")</f>
        <v>JAPAN</v>
      </c>
      <c r="F25" s="182" t="str">
        <f ca="1">IF(ISERROR($V25),"",OFFSET('Smelter Look-up'!$E$4,$V25-4,0))</f>
        <v>CID001875</v>
      </c>
      <c r="G25" s="182" t="str">
        <f ca="1">IF(C25=$X$4,IF(ISERROR($V25),"Enter smelter details","RMI"),IF(ISERROR($V25),"",OFFSET('Smelter Look-up'!$F$4,$V25-4,0)))</f>
        <v>RMI</v>
      </c>
      <c r="H25" s="183">
        <f ca="1">IF(ISERROR($V25),"",OFFSET('Smelter Look-up'!$G$4,$V25-4,0))</f>
        <v>0</v>
      </c>
      <c r="I25" s="184" t="str">
        <f ca="1">IF(ISERROR($V25),"",OFFSET('Smelter Look-up'!$H$4,$V25-4,0))</f>
        <v>Hiratsuka</v>
      </c>
      <c r="J25" s="184" t="str">
        <f ca="1">IF(ISERROR($V25),"",OFFSET('Smelter Look-up'!$I$4,$V25-4,0))</f>
        <v>Kanagawa</v>
      </c>
      <c r="K25" s="224"/>
      <c r="L25" s="224"/>
      <c r="M25" s="224"/>
      <c r="N25" s="224"/>
      <c r="O25" s="224"/>
      <c r="P25" s="185"/>
      <c r="Q25" s="225"/>
      <c r="R25" s="182" t="str">
        <f ca="1">IF(ISERROR($V25),"",OFFSET('Smelter Look-up'!$C$4,$V25-4,0)&amp;"")</f>
        <v>Tanaka Kikinzoku Kogyo K.K.</v>
      </c>
      <c r="S25" s="181" t="str">
        <f t="shared" ca="1" si="2"/>
        <v>JP</v>
      </c>
      <c r="T25" s="181" t="str">
        <f ca="1">IF(B25="","",IF(ISERROR(MATCH($J25,SorP!$B$1:$B$6226,0)),"",INDIRECT("'SorP'!$A$"&amp;MATCH($S25&amp;$J25,SorP!C:C,0))))</f>
        <v>JP-14</v>
      </c>
      <c r="U25" s="201"/>
      <c r="V25" s="226">
        <f ca="1">IF(C25="",NA(),IF(OR(C25="Smelter not listed",C25="Smelter not yet identified"),MATCH($B25&amp;$D25,'Smelter Look-up'!$J:$J,0),MATCH($B25&amp;$C25,'Smelter Look-up'!$J:$J,0)))</f>
        <v>287</v>
      </c>
      <c r="X25" s="227">
        <f t="shared" ca="1" si="3"/>
        <v>0</v>
      </c>
      <c r="AB25" s="228" t="str">
        <f t="shared" ca="1" si="4"/>
        <v>GoldTanaka Kikinzoku Kogyo K.K.</v>
      </c>
    </row>
    <row r="26" spans="1:28" s="227" customFormat="1" ht="50.4">
      <c r="A26" s="181" t="s">
        <v>716</v>
      </c>
      <c r="B26" s="182" t="str">
        <f ca="1">IF(LEN(A26)=0,"",INDEX('Smelter Look-up'!$A:$A,MATCH($A26,'Smelter Look-up'!$E:$E,0)))</f>
        <v>Gold</v>
      </c>
      <c r="C26" s="186" t="str">
        <f ca="1">IF(LEN(A26)=0,"",INDEX('Smelter Look-up'!$C:$C,MATCH($A26,'Smelter Look-up'!$E:$E,0)))</f>
        <v>Tokuriki Honten Co., Ltd.</v>
      </c>
      <c r="D26" s="230"/>
      <c r="E26" s="182" t="str">
        <f ca="1">IF(ISERROR($V26),"",OFFSET('Smelter Look-up'!$D$4,$V26-4,0)&amp;"")</f>
        <v>JAPAN</v>
      </c>
      <c r="F26" s="182" t="str">
        <f ca="1">IF(ISERROR($V26),"",OFFSET('Smelter Look-up'!$E$4,$V26-4,0))</f>
        <v>CID001938</v>
      </c>
      <c r="G26" s="182" t="str">
        <f ca="1">IF(C26=$X$4,IF(ISERROR($V26),"Enter smelter details","RMI"),IF(ISERROR($V26),"",OFFSET('Smelter Look-up'!$F$4,$V26-4,0)))</f>
        <v>RMI</v>
      </c>
      <c r="H26" s="183">
        <f ca="1">IF(ISERROR($V26),"",OFFSET('Smelter Look-up'!$G$4,$V26-4,0))</f>
        <v>0</v>
      </c>
      <c r="I26" s="184" t="str">
        <f ca="1">IF(ISERROR($V26),"",OFFSET('Smelter Look-up'!$H$4,$V26-4,0))</f>
        <v>Kuki</v>
      </c>
      <c r="J26" s="184" t="str">
        <f ca="1">IF(ISERROR($V26),"",OFFSET('Smelter Look-up'!$I$4,$V26-4,0))</f>
        <v>Saitama</v>
      </c>
      <c r="K26" s="224"/>
      <c r="L26" s="224"/>
      <c r="M26" s="224"/>
      <c r="N26" s="224"/>
      <c r="O26" s="224"/>
      <c r="P26" s="185"/>
      <c r="Q26" s="225"/>
      <c r="R26" s="182" t="str">
        <f ca="1">IF(ISERROR($V26),"",OFFSET('Smelter Look-up'!$C$4,$V26-4,0)&amp;"")</f>
        <v>Tokuriki Honten Co., Ltd.</v>
      </c>
      <c r="S26" s="181" t="str">
        <f t="shared" ca="1" si="2"/>
        <v>JP</v>
      </c>
      <c r="T26" s="181" t="str">
        <f ca="1">IF(B26="","",IF(ISERROR(MATCH($J26,SorP!$B$1:$B$6226,0)),"",INDIRECT("'SorP'!$A$"&amp;MATCH($S26&amp;$J26,SorP!C:C,0))))</f>
        <v>JP-11</v>
      </c>
      <c r="U26" s="201"/>
      <c r="V26" s="226">
        <f ca="1">IF(C26="",NA(),IF(OR(C26="Smelter not listed",C26="Smelter not yet identified"),MATCH($B26&amp;$D26,'Smelter Look-up'!$J:$J,0),MATCH($B26&amp;$C26,'Smelter Look-up'!$J:$J,0)))</f>
        <v>293</v>
      </c>
      <c r="X26" s="227">
        <f t="shared" ca="1" si="3"/>
        <v>0</v>
      </c>
      <c r="AB26" s="228" t="str">
        <f t="shared" ca="1" si="4"/>
        <v>GoldTokuriki Honten Co., Ltd.</v>
      </c>
    </row>
    <row r="27" spans="1:28" s="227" customFormat="1" ht="100.8">
      <c r="A27" s="181" t="s">
        <v>719</v>
      </c>
      <c r="B27" s="182" t="str">
        <f ca="1">IF(LEN(A27)=0,"",INDEX('Smelter Look-up'!$A:$A,MATCH($A27,'Smelter Look-up'!$E:$E,0)))</f>
        <v>Gold</v>
      </c>
      <c r="C27" s="186" t="str">
        <f ca="1">IF(LEN(A27)=0,"",INDEX('Smelter Look-up'!$C:$C,MATCH($A27,'Smelter Look-up'!$E:$E,0)))</f>
        <v>Umicore S.A. Business Unit Precious Metals Refining</v>
      </c>
      <c r="D27" s="230"/>
      <c r="E27" s="182" t="str">
        <f ca="1">IF(ISERROR($V27),"",OFFSET('Smelter Look-up'!$D$4,$V27-4,0)&amp;"")</f>
        <v>BELGIUM</v>
      </c>
      <c r="F27" s="182" t="str">
        <f ca="1">IF(ISERROR($V27),"",OFFSET('Smelter Look-up'!$E$4,$V27-4,0))</f>
        <v>CID001980</v>
      </c>
      <c r="G27" s="182" t="str">
        <f ca="1">IF(C27=$X$4,IF(ISERROR($V27),"Enter smelter details","RMI"),IF(ISERROR($V27),"",OFFSET('Smelter Look-up'!$F$4,$V27-4,0)))</f>
        <v>RMI</v>
      </c>
      <c r="H27" s="183">
        <f ca="1">IF(ISERROR($V27),"",OFFSET('Smelter Look-up'!$G$4,$V27-4,0))</f>
        <v>0</v>
      </c>
      <c r="I27" s="184" t="str">
        <f ca="1">IF(ISERROR($V27),"",OFFSET('Smelter Look-up'!$H$4,$V27-4,0))</f>
        <v>Hoboken</v>
      </c>
      <c r="J27" s="184" t="str">
        <f ca="1">IF(ISERROR($V27),"",OFFSET('Smelter Look-up'!$I$4,$V27-4,0))</f>
        <v>Antwerpen</v>
      </c>
      <c r="K27" s="224"/>
      <c r="L27" s="224"/>
      <c r="M27" s="224"/>
      <c r="N27" s="224"/>
      <c r="O27" s="224"/>
      <c r="P27" s="185"/>
      <c r="Q27" s="225"/>
      <c r="R27" s="182" t="str">
        <f ca="1">IF(ISERROR($V27),"",OFFSET('Smelter Look-up'!$C$4,$V27-4,0)&amp;"")</f>
        <v>Umicore S.A. Business Unit Precious Metals Refining</v>
      </c>
      <c r="S27" s="181" t="str">
        <f t="shared" ca="1" si="2"/>
        <v>BE</v>
      </c>
      <c r="T27" s="181" t="str">
        <f ca="1">IF(B27="","",IF(ISERROR(MATCH($J27,SorP!$B$1:$B$6226,0)),"",INDIRECT("'SorP'!$A$"&amp;MATCH($S27&amp;$J27,SorP!C:C,0))))</f>
        <v>BE-VAN</v>
      </c>
      <c r="U27" s="201"/>
      <c r="V27" s="226">
        <f ca="1">IF(C27="",NA(),IF(OR(C27="Smelter not listed",C27="Smelter not yet identified"),MATCH($B27&amp;$D27,'Smelter Look-up'!$J:$J,0),MATCH($B27&amp;$C27,'Smelter Look-up'!$J:$J,0)))</f>
        <v>302</v>
      </c>
      <c r="X27" s="227">
        <f t="shared" ca="1" si="3"/>
        <v>0</v>
      </c>
      <c r="AB27" s="228" t="str">
        <f t="shared" ca="1" si="4"/>
        <v>GoldUmicore S.A. Business Unit Precious Metals Refining</v>
      </c>
    </row>
    <row r="28" spans="1:28" s="227" customFormat="1" ht="63">
      <c r="A28" s="181" t="s">
        <v>2157</v>
      </c>
      <c r="B28" s="182" t="str">
        <f ca="1">IF(LEN(A28)=0,"",INDEX('Smelter Look-up'!$A:$A,MATCH($A28,'Smelter Look-up'!$E:$E,0)))</f>
        <v>Gold</v>
      </c>
      <c r="C28" s="186" t="str">
        <f ca="1">IF(LEN(A28)=0,"",INDEX('Smelter Look-up'!$C:$C,MATCH($A28,'Smelter Look-up'!$E:$E,0)))</f>
        <v>WIELAND Edelmetalle GmbH</v>
      </c>
      <c r="D28" s="230"/>
      <c r="E28" s="182" t="str">
        <f ca="1">IF(ISERROR($V28),"",OFFSET('Smelter Look-up'!$D$4,$V28-4,0)&amp;"")</f>
        <v>GERMANY</v>
      </c>
      <c r="F28" s="182" t="str">
        <f ca="1">IF(ISERROR($V28),"",OFFSET('Smelter Look-up'!$E$4,$V28-4,0))</f>
        <v>CID002778</v>
      </c>
      <c r="G28" s="182" t="str">
        <f ca="1">IF(C28=$X$4,IF(ISERROR($V28),"Enter smelter details","RMI"),IF(ISERROR($V28),"",OFFSET('Smelter Look-up'!$F$4,$V28-4,0)))</f>
        <v>RMI</v>
      </c>
      <c r="H28" s="183">
        <f ca="1">IF(ISERROR($V28),"",OFFSET('Smelter Look-up'!$G$4,$V28-4,0))</f>
        <v>0</v>
      </c>
      <c r="I28" s="184" t="str">
        <f ca="1">IF(ISERROR($V28),"",OFFSET('Smelter Look-up'!$H$4,$V28-4,0))</f>
        <v>Pforzheim</v>
      </c>
      <c r="J28" s="184" t="str">
        <f ca="1">IF(ISERROR($V28),"",OFFSET('Smelter Look-up'!$I$4,$V28-4,0))</f>
        <v>Baden-Württemberg</v>
      </c>
      <c r="K28" s="224"/>
      <c r="L28" s="224"/>
      <c r="M28" s="224"/>
      <c r="N28" s="224"/>
      <c r="O28" s="224"/>
      <c r="P28" s="185"/>
      <c r="Q28" s="225"/>
      <c r="R28" s="182" t="str">
        <f ca="1">IF(ISERROR($V28),"",OFFSET('Smelter Look-up'!$C$4,$V28-4,0)&amp;"")</f>
        <v>WIELAND Edelmetalle GmbH</v>
      </c>
      <c r="S28" s="181" t="str">
        <f t="shared" ca="1" si="2"/>
        <v>DE</v>
      </c>
      <c r="T28" s="181" t="str">
        <f ca="1">IF(B28="","",IF(ISERROR(MATCH($J28,SorP!$B$1:$B$6226,0)),"",INDIRECT("'SorP'!$A$"&amp;MATCH($S28&amp;$J28,SorP!C:C,0))))</f>
        <v>DE-BW</v>
      </c>
      <c r="U28" s="201"/>
      <c r="V28" s="226">
        <f ca="1">IF(C28="",NA(),IF(OR(C28="Smelter not listed",C28="Smelter not yet identified"),MATCH($B28&amp;$D28,'Smelter Look-up'!$J:$J,0),MATCH($B28&amp;$C28,'Smelter Look-up'!$J:$J,0)))</f>
        <v>307</v>
      </c>
      <c r="X28" s="227">
        <f t="shared" ca="1" si="3"/>
        <v>0</v>
      </c>
      <c r="AB28" s="228" t="str">
        <f t="shared" ca="1" si="4"/>
        <v>GoldWIELAND Edelmetalle GmbH</v>
      </c>
    </row>
    <row r="29" spans="1:28" s="227" customFormat="1" ht="20.399999999999999">
      <c r="A29" s="181"/>
      <c r="B29" s="182"/>
      <c r="C29" s="186"/>
      <c r="D29" s="230"/>
      <c r="E29" s="182"/>
      <c r="F29" s="182"/>
      <c r="G29" s="182"/>
      <c r="H29" s="183"/>
      <c r="I29" s="184"/>
      <c r="J29" s="184"/>
      <c r="K29" s="224"/>
      <c r="L29" s="224"/>
      <c r="M29" s="224"/>
      <c r="N29" s="224"/>
      <c r="O29" s="224"/>
      <c r="P29" s="185"/>
      <c r="Q29" s="225"/>
      <c r="R29" s="182"/>
      <c r="S29" s="181"/>
      <c r="T29" s="181"/>
      <c r="U29" s="201"/>
      <c r="V29" s="226"/>
      <c r="AB29" s="228"/>
    </row>
    <row r="30" spans="1:28" s="227" customFormat="1" ht="20.399999999999999">
      <c r="A30" s="181"/>
      <c r="B30" s="182"/>
      <c r="C30" s="186"/>
      <c r="D30" s="230"/>
      <c r="E30" s="182"/>
      <c r="F30" s="182"/>
      <c r="G30" s="182"/>
      <c r="H30" s="183"/>
      <c r="I30" s="184"/>
      <c r="J30" s="184"/>
      <c r="K30" s="224"/>
      <c r="L30" s="224"/>
      <c r="M30" s="224"/>
      <c r="N30" s="224"/>
      <c r="O30" s="224"/>
      <c r="P30" s="185"/>
      <c r="Q30" s="225"/>
      <c r="R30" s="182"/>
      <c r="S30" s="181"/>
      <c r="T30" s="181"/>
      <c r="U30" s="201"/>
      <c r="V30" s="226"/>
      <c r="AB30" s="228"/>
    </row>
    <row r="31" spans="1:28" s="227" customFormat="1" ht="20.399999999999999">
      <c r="A31" s="181"/>
      <c r="B31" s="182"/>
      <c r="C31" s="186"/>
      <c r="D31" s="230"/>
      <c r="E31" s="182"/>
      <c r="F31" s="182"/>
      <c r="G31" s="182"/>
      <c r="H31" s="183"/>
      <c r="I31" s="184"/>
      <c r="J31" s="184"/>
      <c r="K31" s="224"/>
      <c r="L31" s="224"/>
      <c r="M31" s="224"/>
      <c r="N31" s="224"/>
      <c r="O31" s="224"/>
      <c r="P31" s="185"/>
      <c r="Q31" s="225"/>
      <c r="R31" s="182"/>
      <c r="S31" s="181"/>
      <c r="T31" s="181"/>
      <c r="U31" s="201"/>
      <c r="V31" s="226"/>
      <c r="AB31" s="228"/>
    </row>
    <row r="32" spans="1:28" s="227" customFormat="1" ht="20.399999999999999">
      <c r="A32" s="181"/>
      <c r="B32" s="182"/>
      <c r="C32" s="186"/>
      <c r="D32" s="230"/>
      <c r="E32" s="182"/>
      <c r="F32" s="182"/>
      <c r="G32" s="182"/>
      <c r="H32" s="183"/>
      <c r="I32" s="184"/>
      <c r="J32" s="184"/>
      <c r="K32" s="224"/>
      <c r="L32" s="224"/>
      <c r="M32" s="224"/>
      <c r="N32" s="224"/>
      <c r="O32" s="224"/>
      <c r="P32" s="185"/>
      <c r="Q32" s="225"/>
      <c r="R32" s="182"/>
      <c r="S32" s="181"/>
      <c r="T32" s="181"/>
      <c r="U32" s="201"/>
      <c r="V32" s="226"/>
      <c r="AB32" s="228"/>
    </row>
    <row r="33" spans="1:28" s="227" customFormat="1" ht="20.399999999999999">
      <c r="A33" s="181"/>
      <c r="B33" s="182"/>
      <c r="C33" s="186"/>
      <c r="D33" s="230"/>
      <c r="E33" s="182"/>
      <c r="F33" s="182"/>
      <c r="G33" s="182"/>
      <c r="H33" s="183"/>
      <c r="I33" s="184"/>
      <c r="J33" s="184"/>
      <c r="K33" s="224"/>
      <c r="L33" s="224"/>
      <c r="M33" s="224"/>
      <c r="N33" s="224"/>
      <c r="O33" s="224"/>
      <c r="P33" s="185"/>
      <c r="Q33" s="225"/>
      <c r="R33" s="182"/>
      <c r="S33" s="181"/>
      <c r="T33" s="181"/>
      <c r="U33" s="201"/>
      <c r="V33" s="226"/>
      <c r="AB33" s="228"/>
    </row>
    <row r="34" spans="1:28" s="227" customFormat="1" ht="20.399999999999999">
      <c r="A34" s="181"/>
      <c r="B34" s="182"/>
      <c r="C34" s="186"/>
      <c r="D34" s="230"/>
      <c r="E34" s="182"/>
      <c r="F34" s="182"/>
      <c r="G34" s="182"/>
      <c r="H34" s="183"/>
      <c r="I34" s="184"/>
      <c r="J34" s="184"/>
      <c r="K34" s="224"/>
      <c r="L34" s="224"/>
      <c r="M34" s="224"/>
      <c r="N34" s="224"/>
      <c r="O34" s="224"/>
      <c r="P34" s="185"/>
      <c r="Q34" s="225"/>
      <c r="R34" s="182"/>
      <c r="S34" s="181"/>
      <c r="T34" s="181"/>
      <c r="U34" s="201"/>
      <c r="V34" s="226"/>
      <c r="AB34" s="228"/>
    </row>
    <row r="35" spans="1:28" s="227" customFormat="1" ht="20.399999999999999">
      <c r="A35" s="181"/>
      <c r="B35" s="182"/>
      <c r="C35" s="186"/>
      <c r="D35" s="230"/>
      <c r="E35" s="182"/>
      <c r="F35" s="182"/>
      <c r="G35" s="182"/>
      <c r="H35" s="183"/>
      <c r="I35" s="184"/>
      <c r="J35" s="184"/>
      <c r="K35" s="224"/>
      <c r="L35" s="224"/>
      <c r="M35" s="224"/>
      <c r="N35" s="224"/>
      <c r="O35" s="224"/>
      <c r="P35" s="185"/>
      <c r="Q35" s="225"/>
      <c r="R35" s="182"/>
      <c r="S35" s="181"/>
      <c r="T35" s="181"/>
      <c r="U35" s="201"/>
      <c r="V35" s="226"/>
      <c r="AB35" s="228"/>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AE9AE1CB-81A5-4549-8024-F873EA92B7EC}"/>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6.2">
      <c r="A2" s="66" t="s">
        <v>869</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Sensirion AG</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Go to Product List tab to enter products this declaration applies to</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Adrian Ruf</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adrian .ruf@sensirion.com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+41 44 927 14 11</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 xml:space="preserve">Stephan Weber </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info@sensirion.com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45866</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783</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780</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780</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1273</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780</v>
      </c>
      <c r="F38" s="93"/>
    </row>
    <row r="39" spans="1:10" ht="26.4">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 xml:space="preserve">Tin  </v>
      </c>
      <c r="B40" s="268">
        <f>IF(AND($B$15="Yes",$B$20="Yes"),Declaration!D57,0)</f>
        <v>0</v>
      </c>
      <c r="C40" s="89" t="str">
        <f ca="1">IF(H40=1,J40,I40)</f>
        <v>Complete</v>
      </c>
      <c r="D40" s="261" t="str">
        <f>IF(H40=1,"Click here to answer question 6 for Tin","")</f>
        <v/>
      </c>
      <c r="E40" s="20" t="s">
        <v>779</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781</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 xml:space="preserve">Tin  </v>
      </c>
      <c r="B45" s="89">
        <f>IF(AND($B$15="Yes",$B$20="Yes"),Declaration!D63,0)</f>
        <v>0</v>
      </c>
      <c r="C45" s="89" t="str">
        <f ca="1">IF(H45=1,J45,I45)</f>
        <v>Complete</v>
      </c>
      <c r="D45" s="260" t="str">
        <f>IF(H45=1,"Click here to answer question 7 for Tin","")</f>
        <v/>
      </c>
      <c r="E45" s="20" t="s">
        <v>1269</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780</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No</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t="str">
        <f>Declaration!G77</f>
        <v>https://sensirion.com/company/about-sensirion/sustainability</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1273</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0</v>
      </c>
      <c r="G66" s="70">
        <f ca="1">IF(AND(COUNTIF(SmelterIdetifiedForMetal,"Tin")&gt;0,COUNTIF('Smelter List'!AB$5:AB$2504,"Tin?*")&gt;0),0,1)</f>
        <v>1</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2"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15" sqref="C15"/>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t="s">
        <v>15830</v>
      </c>
      <c r="C6" s="98" t="s">
        <v>15831</v>
      </c>
      <c r="D6" s="98" t="s">
        <v>15832</v>
      </c>
      <c r="E6" s="276"/>
    </row>
    <row r="7" spans="1:6" ht="15">
      <c r="A7" s="129"/>
      <c r="B7" s="274" t="s">
        <v>15830</v>
      </c>
      <c r="C7" s="98" t="s">
        <v>15833</v>
      </c>
      <c r="D7" s="98" t="s">
        <v>15834</v>
      </c>
      <c r="E7" s="276"/>
    </row>
    <row r="8" spans="1:6" ht="15">
      <c r="A8" s="129"/>
      <c r="B8" s="274" t="s">
        <v>15830</v>
      </c>
      <c r="C8" s="98" t="s">
        <v>15835</v>
      </c>
      <c r="D8" s="98" t="s">
        <v>15836</v>
      </c>
      <c r="E8" s="276"/>
    </row>
    <row r="9" spans="1:6" ht="15">
      <c r="A9" s="129"/>
      <c r="B9" s="274" t="s">
        <v>15830</v>
      </c>
      <c r="C9" s="98" t="s">
        <v>15837</v>
      </c>
      <c r="D9" s="98" t="s">
        <v>15838</v>
      </c>
      <c r="E9" s="276"/>
    </row>
    <row r="10" spans="1:6" ht="15">
      <c r="A10" s="129"/>
      <c r="B10" s="274" t="s">
        <v>15830</v>
      </c>
      <c r="C10" s="98" t="s">
        <v>15839</v>
      </c>
      <c r="D10" s="98" t="s">
        <v>15840</v>
      </c>
      <c r="E10" s="276"/>
    </row>
    <row r="11" spans="1:6" ht="15">
      <c r="A11" s="129"/>
      <c r="B11" s="274" t="s">
        <v>15830</v>
      </c>
      <c r="C11" s="98" t="s">
        <v>15841</v>
      </c>
      <c r="D11" s="98" t="s">
        <v>15842</v>
      </c>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2"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2.8">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4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1.4">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6">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6">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1.4">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1.4">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1.4">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1.4">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9">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6">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2.8">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6">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9">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1.4">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1.4">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38.6">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3.4">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6">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1.4">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60">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4.2">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43.6">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5.2">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5.2">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1.4">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7.6">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6.6">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10.4">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0.8">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58.8">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1.6">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7.2">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86.4">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1.4">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6">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6.4">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9">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5.2">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8">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2.8">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2.8">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10.4">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9">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2">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2">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0.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1.2">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2.8">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5.6">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93.2">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5.2">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1.4">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93.2">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6">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03.60000000000002">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51.8000000000000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8">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89.8">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6.6">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1.4">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9">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6">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1.4">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6">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6">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6">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6">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6">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6">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6">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6">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6">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6">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2.8">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6.4">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4.2">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51.80000000000001">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9">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8">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0.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8">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6">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0.8">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10.4">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7.39999999999998">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7">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6">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9">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6">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51.8000000000000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96.6">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6">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8.4">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6">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8">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2.8">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7">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93.2">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9.4">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6">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6">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1.4">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2">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5.2">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6">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6">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6">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6">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6">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8.8">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4">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0.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7.799999999999997">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37.799999999999997">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8.8">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8.8">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7.799999999999997">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6">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9">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0.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7.79999999999999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8.8">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1.4">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6">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8.8">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4">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4.4">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14.4">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14.4">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14.4">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4.4">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14.4">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14.4">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4.4">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6">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6">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6">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6">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6">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6">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6">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1.4">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1.4">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5.2">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6">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1.4">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6">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5.2">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6">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6">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6">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6">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6">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6">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1.4">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1.4">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6">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1.4">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1.4">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6">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1.4">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5.2">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5.2">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5.2">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5.2">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9">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9">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9">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9">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5.2">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5.2">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5.2">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5.2">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5.2">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5.2">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5.2">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5.2">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1.4">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5.2">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5.2">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5.2">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1.4">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1.4">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1.4">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1.4">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5.2">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5.2">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5.2">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82.8">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1.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1.4">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1.4">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1.4">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1.4">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1.4">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6">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2.8">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6">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6">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9">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6">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6">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9">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FD2CA225F35794994E23CD6AC916325" ma:contentTypeVersion="23" ma:contentTypeDescription="Create a new document." ma:contentTypeScope="" ma:versionID="7706c480835b6bd6ff5f3a36a5fdf7a1">
  <xsd:schema xmlns:xsd="http://www.w3.org/2001/XMLSchema" xmlns:xs="http://www.w3.org/2001/XMLSchema" xmlns:p="http://schemas.microsoft.com/office/2006/metadata/properties" xmlns:ns1="http://schemas.microsoft.com/sharepoint/v3" xmlns:ns2="9b096da1-55ae-40f0-828e-d96caf0055d1" xmlns:ns3="c3addd97-82f1-4504-893d-1250bb302d79" xmlns:ns4="a9584261-0479-4356-b469-550b05752912" targetNamespace="http://schemas.microsoft.com/office/2006/metadata/properties" ma:root="true" ma:fieldsID="a16b247209f20479e038996fa10321ba" ns1:_="" ns2:_="" ns3:_="" ns4:_="">
    <xsd:import namespace="http://schemas.microsoft.com/sharepoint/v3"/>
    <xsd:import namespace="9b096da1-55ae-40f0-828e-d96caf0055d1"/>
    <xsd:import namespace="c3addd97-82f1-4504-893d-1250bb302d79"/>
    <xsd:import namespace="a9584261-0479-4356-b469-550b05752912"/>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LengthInSeconds" minOccurs="0"/>
                <xsd:element ref="ns4:TaxCatchAll" minOccurs="0"/>
                <xsd:element ref="ns3:MediaServiceOCR" minOccurs="0"/>
                <xsd:element ref="ns3:MediaServiceGenerationTime" minOccurs="0"/>
                <xsd:element ref="ns3:MediaServiceEventHashCode" minOccurs="0"/>
                <xsd:element ref="ns3:lcf76f155ced4ddcb4097134ff3c332f" minOccurs="0"/>
                <xsd:element ref="ns3:MediaServiceLocation" minOccurs="0"/>
                <xsd:element ref="ns3:_Flow_SignoffStatus" minOccurs="0"/>
                <xsd:element ref="ns3:MediaServiceObjectDetectorVersions" minOccurs="0"/>
                <xsd:element ref="ns3:MediaServiceSearchProperties" minOccurs="0"/>
                <xsd:element ref="ns1:_ip_UnifiedCompliancePolicyProperties" minOccurs="0"/>
                <xsd:element ref="ns1:_ip_UnifiedCompliancePolicyUIAction"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4" nillable="true" ma:displayName="Unified Compliance Policy Properties" ma:hidden="true" ma:internalName="_ip_UnifiedCompliancePolicyProperties">
      <xsd:simpleType>
        <xsd:restriction base="dms:Note"/>
      </xsd:simpleType>
    </xsd:element>
    <xsd:element name="_ip_UnifiedCompliancePolicyUIAction" ma:index="2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b096da1-55ae-40f0-828e-d96caf0055d1"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3addd97-82f1-4504-893d-1250bb302d79"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4b8de631-2c85-4ba1-af09-54e0ec8ee11a" ma:termSetId="09814cd3-568e-fe90-9814-8d621ff8fb84" ma:anchorId="fba54fb3-c3e1-fe81-a776-ca4b69148c4d" ma:open="true" ma:isKeyword="false">
      <xsd:complexType>
        <xsd:sequence>
          <xsd:element ref="pc:Terms" minOccurs="0" maxOccurs="1"/>
        </xsd:sequence>
      </xsd:complexType>
    </xsd:element>
    <xsd:element name="MediaServiceLocation" ma:index="20" nillable="true" ma:displayName="Location" ma:description="" ma:indexed="true" ma:internalName="MediaServiceLocation" ma:readOnly="true">
      <xsd:simpleType>
        <xsd:restriction base="dms:Text"/>
      </xsd:simpleType>
    </xsd:element>
    <xsd:element name="_Flow_SignoffStatus" ma:index="21" nillable="true" ma:displayName="Sign-off status" ma:internalName="Sign_x002d_off_x0020_status">
      <xsd:simpleType>
        <xsd:restriction base="dms:Text"/>
      </xsd:simple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9584261-0479-4356-b469-550b05752912"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dfaccccb-7feb-45f0-941c-6ce1505f2cda}" ma:internalName="TaxCatchAll" ma:showField="CatchAllData" ma:web="a9584261-0479-4356-b469-550b0575291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a9584261-0479-4356-b469-550b05752912" xsi:nil="true"/>
    <lcf76f155ced4ddcb4097134ff3c332f xmlns="c3addd97-82f1-4504-893d-1250bb302d79">
      <Terms xmlns="http://schemas.microsoft.com/office/infopath/2007/PartnerControls"/>
    </lcf76f155ced4ddcb4097134ff3c332f>
    <_ip_UnifiedCompliancePolicyProperties xmlns="http://schemas.microsoft.com/sharepoint/v3" xsi:nil="true"/>
    <_Flow_SignoffStatus xmlns="c3addd97-82f1-4504-893d-1250bb302d79" xsi:nil="true"/>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DBAA95D-B562-47DC-9F0E-15B4618BFC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b096da1-55ae-40f0-828e-d96caf0055d1"/>
    <ds:schemaRef ds:uri="c3addd97-82f1-4504-893d-1250bb302d79"/>
    <ds:schemaRef ds:uri="a9584261-0479-4356-b469-550b0575291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a9584261-0479-4356-b469-550b05752912"/>
    <ds:schemaRef ds:uri="http://purl.org/dc/terms/"/>
    <ds:schemaRef ds:uri="c3addd97-82f1-4504-893d-1250bb302d79"/>
    <ds:schemaRef ds:uri="http://purl.org/dc/dcmitype/"/>
    <ds:schemaRef ds:uri="http://schemas.microsoft.com/office/2006/documentManagement/types"/>
    <ds:schemaRef ds:uri="http://purl.org/dc/elements/1.1/"/>
    <ds:schemaRef ds:uri="http://schemas.microsoft.com/office/2006/metadata/properties"/>
    <ds:schemaRef ds:uri="9b096da1-55ae-40f0-828e-d96caf0055d1"/>
    <ds:schemaRef ds:uri="http://schemas.microsoft.com/sharepoint/v3"/>
    <ds:schemaRef ds:uri="http://schemas.microsoft.com/office/infopath/2007/PartnerControls"/>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Mariela Janjic</cp:lastModifiedBy>
  <cp:lastPrinted>2015-04-21T20:47:43Z</cp:lastPrinted>
  <dcterms:created xsi:type="dcterms:W3CDTF">2010-06-21T21:00:23Z</dcterms:created>
  <dcterms:modified xsi:type="dcterms:W3CDTF">2025-07-28T13:29:21Z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0x010100DFD2CA225F35794994E23CD6AC916325</vt:lpwstr>
  </property>
  <property fmtid="{D5CDD505-2E9C-101B-9397-08002B2CF9AE}" pid="4" name="Order">
    <vt:r8>100</vt:r8>
  </property>
  <property fmtid="{D5CDD505-2E9C-101B-9397-08002B2CF9AE}" pid="5" name="MediaServiceImageTags">
    <vt:lpwstr/>
  </property>
</Properties>
</file>